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Stavební rozpočet" sheetId="1" r:id="rId1"/>
    <sheet name="Krycí list rozpočtu" sheetId="2" r:id="rId2"/>
    <sheet name="VORN" sheetId="3" state="hidden" r:id="rId3"/>
  </sheets>
  <definedNames>
    <definedName name="vorn_sum">VORN!$I$36</definedName>
  </definedNames>
  <calcPr refMode="A1"/>
</workbook>
</file>

<file path=xl/sharedStrings.xml><?xml version="1.0" encoding="utf-8"?>
<sst xmlns="http://schemas.openxmlformats.org/spreadsheetml/2006/main" count="637" uniqueCount="637">
  <si>
    <t>Slepý stavební rozpočet</t>
  </si>
  <si>
    <t>Název stavby:</t>
  </si>
  <si>
    <t>Stavební úpravy garáže</t>
  </si>
  <si>
    <t>Doba výstavby:</t>
  </si>
  <si>
    <t xml:space="preserve"> </t>
  </si>
  <si>
    <t>Objednatel:</t>
  </si>
  <si>
    <t> </t>
  </si>
  <si>
    <t>Druh stavby:</t>
  </si>
  <si>
    <t>Začátek výstavby:</t>
  </si>
  <si>
    <t>24.02.2025</t>
  </si>
  <si>
    <t>Projektant:</t>
  </si>
  <si>
    <t>Lokalita:</t>
  </si>
  <si>
    <t>Přibyslav</t>
  </si>
  <si>
    <t>Konec výstavby:</t>
  </si>
  <si>
    <t>Zhotovitel:</t>
  </si>
  <si>
    <t>JKSO:</t>
  </si>
  <si>
    <t>Zpracováno dne:</t>
  </si>
  <si>
    <t>Zpracoval: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</si>
  <si>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</si>
  <si>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</si>
  <si>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</si>
  <si>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</si>
  <si>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</si>
  <si>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</si>
  <si>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</si>
  <si>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</si>
  <si>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</si>
  <si>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</si>
  <si>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</si>
  <si>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</si>
  <si>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</si>
  <si>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</si>
  <si>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</si>
  <si>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</si>
  <si>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</si>
  <si>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</si>
  <si>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</si>
  <si>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</si>
  <si>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</si>
  <si>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</si>
  <si>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</si>
  <si>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</si>
  <si>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</si>
  <si>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</si>
  <si>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</si>
  <si>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</si>
  <si>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</si>
  <si>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</si>
  <si>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12</t>
  </si>
  <si>
    <t>Odkopávky a prokopávky</t>
  </si>
  <si>
    <t>1</t>
  </si>
  <si>
    <t>122201101R00</t>
  </si>
  <si>
    <t>Odkopávky nezapažené v hor. 3 do 100 m3</t>
  </si>
  <si>
    <t>m3</t>
  </si>
  <si>
    <t>RTS II / 2024</t>
  </si>
  <si>
    <t>12_</t>
  </si>
  <si>
    <t>1_</t>
  </si>
  <si>
    <t>_</t>
  </si>
  <si>
    <t>7,55*6,6*0,15</t>
  </si>
  <si>
    <t>13</t>
  </si>
  <si>
    <t>Hloubené vykopávky</t>
  </si>
  <si>
    <t>2</t>
  </si>
  <si>
    <t>132101210R00</t>
  </si>
  <si>
    <t>Hloubení rýh š.do 200 cm hor.2 do 50 m3, STROJNĚ</t>
  </si>
  <si>
    <t>13_</t>
  </si>
  <si>
    <t>(7,55+6,6+7,55+6,6+3,3)*0,674</t>
  </si>
  <si>
    <t>3</t>
  </si>
  <si>
    <t>132201219R00</t>
  </si>
  <si>
    <t>Přípl.za lepivost,hloubení rýh 200cm,hor.3,STROJNĚ</t>
  </si>
  <si>
    <t>4</t>
  </si>
  <si>
    <t>132201110R00</t>
  </si>
  <si>
    <t>Hloubení rýh š.do 60 cm v hor.3 do 50 m3, STROJNĚ</t>
  </si>
  <si>
    <t>3*0,6*0,8</t>
  </si>
  <si>
    <t>pro potrubí dešť.kanaloizace do vsaku</t>
  </si>
  <si>
    <t>5</t>
  </si>
  <si>
    <t>131201110R00</t>
  </si>
  <si>
    <t>Hloubení nezapaž. jam hor.3 do 50 m3, STROJNĚ</t>
  </si>
  <si>
    <t>3,84*1,5</t>
  </si>
  <si>
    <t>vsak</t>
  </si>
  <si>
    <t>16</t>
  </si>
  <si>
    <t>Přemístění výkopku</t>
  </si>
  <si>
    <t>6</t>
  </si>
  <si>
    <t>162501102R00</t>
  </si>
  <si>
    <t>Vodorovné přemístění výkopku z hor.1-4 do 3000 m</t>
  </si>
  <si>
    <t>16_</t>
  </si>
  <si>
    <t>-7,884</t>
  </si>
  <si>
    <t>17</t>
  </si>
  <si>
    <t>Konstrukce ze zemin</t>
  </si>
  <si>
    <t>7</t>
  </si>
  <si>
    <t>175101101RT2</t>
  </si>
  <si>
    <t>Obsyp potrubí bez prohození sypaniny</t>
  </si>
  <si>
    <t>17_</t>
  </si>
  <si>
    <t>Varianta:</t>
  </si>
  <si>
    <t>s dodáním štěrkopísku frakce 0 - 22 mm</t>
  </si>
  <si>
    <t>3*0,6*0,3</t>
  </si>
  <si>
    <t>8</t>
  </si>
  <si>
    <t>174101101R00</t>
  </si>
  <si>
    <t>Zásyp jam, rýh, šachet se zhutněním</t>
  </si>
  <si>
    <t>3*0,6*0,5</t>
  </si>
  <si>
    <t>3,84*0,5</t>
  </si>
  <si>
    <t>(7,4+7,4+6,3)*0,24</t>
  </si>
  <si>
    <t>21</t>
  </si>
  <si>
    <t>Úprava podloží a základové spáry</t>
  </si>
  <si>
    <t>9</t>
  </si>
  <si>
    <t>212532111R00</t>
  </si>
  <si>
    <t>Lože trativodu z kameniva hrub.drceného,16-32 mm</t>
  </si>
  <si>
    <t>21_</t>
  </si>
  <si>
    <t>2_</t>
  </si>
  <si>
    <t>3,84*1</t>
  </si>
  <si>
    <t>10</t>
  </si>
  <si>
    <t>213151121R00</t>
  </si>
  <si>
    <t>Obalení vsaku geotextílií</t>
  </si>
  <si>
    <t>m2</t>
  </si>
  <si>
    <t>3,84+3,84</t>
  </si>
  <si>
    <t>(2,4+2,4+1,6+1,6)*1,5</t>
  </si>
  <si>
    <t>11</t>
  </si>
  <si>
    <t>67390503</t>
  </si>
  <si>
    <t>Geotextilie netkaná geoNETEX S07 300 g/m2</t>
  </si>
  <si>
    <t>19,68</t>
  </si>
  <si>
    <t>27</t>
  </si>
  <si>
    <t>Základy</t>
  </si>
  <si>
    <t>274272140RT3</t>
  </si>
  <si>
    <t>Zdivo základové z bednicích tvárnic, tl. 300 mm</t>
  </si>
  <si>
    <t>27_</t>
  </si>
  <si>
    <t>výplň tvárnic betonem C 16/20</t>
  </si>
  <si>
    <t>(7,4+6,3+7,4+6,3)*0,5</t>
  </si>
  <si>
    <t>274272120RT3</t>
  </si>
  <si>
    <t>Zdivo základové z bednicích tvárnic, tl. 200 mm</t>
  </si>
  <si>
    <t>3,5*0,5</t>
  </si>
  <si>
    <t>14</t>
  </si>
  <si>
    <t>274313611R00</t>
  </si>
  <si>
    <t>Beton základových pasů prostý C 16/20</t>
  </si>
  <si>
    <t>(7,55+7,55+6,6+6,6)*0,5*0,6</t>
  </si>
  <si>
    <t>3,5*0,5*0,5</t>
  </si>
  <si>
    <t>15</t>
  </si>
  <si>
    <t>274361022R00</t>
  </si>
  <si>
    <t>Výztuž zdiva základových pasů z tvárnic ztraceného bednění 12 prutů/m2, průměr 12 mm</t>
  </si>
  <si>
    <t>271531112R00</t>
  </si>
  <si>
    <t>Polštář základu z kameniva hr. drceného 32-63 mm</t>
  </si>
  <si>
    <t>6,8*5,7*0,15</t>
  </si>
  <si>
    <t>273321321R00</t>
  </si>
  <si>
    <t>Železobeton základových desek C 20/25</t>
  </si>
  <si>
    <t>7,4*6,3*0,15</t>
  </si>
  <si>
    <t>18</t>
  </si>
  <si>
    <t>273351215R00</t>
  </si>
  <si>
    <t>Bednění stěn základových desek - zřízení</t>
  </si>
  <si>
    <t>(7,4+6,3+7,4+6,3)*0,2</t>
  </si>
  <si>
    <t>19</t>
  </si>
  <si>
    <t>273351216R00</t>
  </si>
  <si>
    <t>Bednění stěn základových desek - odstranění</t>
  </si>
  <si>
    <t>20</t>
  </si>
  <si>
    <t>273361921RT5</t>
  </si>
  <si>
    <t>Výztuž základových desek ze svařovaných sítí</t>
  </si>
  <si>
    <t>t</t>
  </si>
  <si>
    <t>KH 20, drát d 6,0 mm, oko 150 x 150 mm</t>
  </si>
  <si>
    <t>7,4*6,3*0,0044*2</t>
  </si>
  <si>
    <t>31</t>
  </si>
  <si>
    <t>Zdi podpěrné a volné</t>
  </si>
  <si>
    <t>311238144R00</t>
  </si>
  <si>
    <t>Zdivo POROTHERM 30 Profi P10, tl. 300 mm</t>
  </si>
  <si>
    <t>31_</t>
  </si>
  <si>
    <t>3_</t>
  </si>
  <si>
    <t>(7,4+7,4+6,3+6,3)*2,25</t>
  </si>
  <si>
    <t>-2,6*2,15</t>
  </si>
  <si>
    <t>-1*2,15</t>
  </si>
  <si>
    <t>-1,25*0,75</t>
  </si>
  <si>
    <t>11,76*2</t>
  </si>
  <si>
    <t>1,89</t>
  </si>
  <si>
    <t>22</t>
  </si>
  <si>
    <t>311112120RT2</t>
  </si>
  <si>
    <t>Stěna z tvárnic ztraceného bednění, tl. 200 mm</t>
  </si>
  <si>
    <t>zalití tvárnic betonem C 16/20</t>
  </si>
  <si>
    <t>3,5*2</t>
  </si>
  <si>
    <t>23</t>
  </si>
  <si>
    <t>317168122R00</t>
  </si>
  <si>
    <t>Překlad POROTHERM KP plochý 145 x 71 x 1250 mm</t>
  </si>
  <si>
    <t>kus</t>
  </si>
  <si>
    <t>24</t>
  </si>
  <si>
    <t>317168132R00</t>
  </si>
  <si>
    <t>Překlad POROTHERM KP 7 vysoký 70 x 238 x 1500 mm pro orientované uložení</t>
  </si>
  <si>
    <t>25</t>
  </si>
  <si>
    <t>317941123R00</t>
  </si>
  <si>
    <t>Osazení ocelových válcovaných nosníků  č. 14 - 22</t>
  </si>
  <si>
    <t>0,098</t>
  </si>
  <si>
    <t>26</t>
  </si>
  <si>
    <t>13383430</t>
  </si>
  <si>
    <t>Tyč ocelová IPE 160, S235JR</t>
  </si>
  <si>
    <t>;ztratné 8%; 0,00784</t>
  </si>
  <si>
    <t>34</t>
  </si>
  <si>
    <t>Stěny a příčky</t>
  </si>
  <si>
    <t>342265122RT7</t>
  </si>
  <si>
    <t>Úprava podkroví sádrokarton. na ocel. rošt, šikmá</t>
  </si>
  <si>
    <t>34_</t>
  </si>
  <si>
    <t>desky standard impreg. tl. 12,5 mm, bez izolace</t>
  </si>
  <si>
    <t>4*7,1*2</t>
  </si>
  <si>
    <t>28</t>
  </si>
  <si>
    <t>342265192R00</t>
  </si>
  <si>
    <t>Příplatek za otvor v podhledu podkroví pl. 0,50 m2</t>
  </si>
  <si>
    <t>41</t>
  </si>
  <si>
    <t>Stropy a stropní konstrukce (pro pozemní stavby)</t>
  </si>
  <si>
    <t>29</t>
  </si>
  <si>
    <t>417321315R00</t>
  </si>
  <si>
    <t>Ztužující pásy a věnce z betonu železového C 20/25</t>
  </si>
  <si>
    <t>41_</t>
  </si>
  <si>
    <t>4_</t>
  </si>
  <si>
    <t>(7,4+7,4+6,3+6,3)*0,25*0,25</t>
  </si>
  <si>
    <t>30</t>
  </si>
  <si>
    <t>417351115R00</t>
  </si>
  <si>
    <t>Bednění ztužujících pásů a věnců - zřízení</t>
  </si>
  <si>
    <t>(7,4+7,4+6,3+6,3)*0,3*2</t>
  </si>
  <si>
    <t>417351116R00</t>
  </si>
  <si>
    <t>Bednění ztužujících pásů a věnců - odstranění</t>
  </si>
  <si>
    <t>32</t>
  </si>
  <si>
    <t>417361821R00</t>
  </si>
  <si>
    <t>Výztuž ztužujících pásů a věnců z oceli B500B (10 505)</t>
  </si>
  <si>
    <t>0,154</t>
  </si>
  <si>
    <t>33</t>
  </si>
  <si>
    <t>411135004R00</t>
  </si>
  <si>
    <t>Montáž stropních panelů z předpjatého betonu typu Spiroll, hmotnosti do 7 t, délky do 9 m</t>
  </si>
  <si>
    <t>59346811</t>
  </si>
  <si>
    <t>Panel stropní SPIROLL</t>
  </si>
  <si>
    <t>m</t>
  </si>
  <si>
    <t>5*6</t>
  </si>
  <si>
    <t>2*2,35</t>
  </si>
  <si>
    <t>35</t>
  </si>
  <si>
    <t>416021123R00</t>
  </si>
  <si>
    <t>Podhledy SDK, kovová.kce CD. 1x deska RBI 12,5 mm</t>
  </si>
  <si>
    <t>38,76</t>
  </si>
  <si>
    <t>59</t>
  </si>
  <si>
    <t>Kryty pozemních komunikací, letišť a ploch dlážděných (předlažby)</t>
  </si>
  <si>
    <t>36</t>
  </si>
  <si>
    <t>596215021R00</t>
  </si>
  <si>
    <t>Kladení zámkové dlažby tl. 6 cm do drtě tl. 4 cm</t>
  </si>
  <si>
    <t>59_</t>
  </si>
  <si>
    <t>5_</t>
  </si>
  <si>
    <t>5,2</t>
  </si>
  <si>
    <t>37</t>
  </si>
  <si>
    <t>59245308</t>
  </si>
  <si>
    <t>Dlažba BEST KLASIKO standard přírodní 200 x 100 x 60 mm</t>
  </si>
  <si>
    <t>38</t>
  </si>
  <si>
    <t>591211211R00</t>
  </si>
  <si>
    <t>Kladení dlažby drobné kostky, lože z drti tl. 5 cm</t>
  </si>
  <si>
    <t>39</t>
  </si>
  <si>
    <t>58380120.A</t>
  </si>
  <si>
    <t>Kostka dlažební žulová štípaná, drobná 80 až 100 mm, třída I</t>
  </si>
  <si>
    <t>40</t>
  </si>
  <si>
    <t>596715021R00</t>
  </si>
  <si>
    <t>Kladení vodicí linie z dlažby tl.6 cm, drť tl.4 cm</t>
  </si>
  <si>
    <t>0,5</t>
  </si>
  <si>
    <t>59245267</t>
  </si>
  <si>
    <t>Dlažba BEST KLASIKO standard červená pro nevidomé 200 x 100 x 60 mm</t>
  </si>
  <si>
    <t>61</t>
  </si>
  <si>
    <t>Úprava povrchů vnitřní</t>
  </si>
  <si>
    <t>42</t>
  </si>
  <si>
    <t>612421637R00</t>
  </si>
  <si>
    <t>Omítka vnitřní zdiva, MVC, štuková</t>
  </si>
  <si>
    <t>61_</t>
  </si>
  <si>
    <t>6_</t>
  </si>
  <si>
    <t>(6,8+6,8+5,7+5,7)*2,4</t>
  </si>
  <si>
    <t>-0,9*2,1</t>
  </si>
  <si>
    <t>43</t>
  </si>
  <si>
    <t>612425931R00</t>
  </si>
  <si>
    <t>Omítka vápenná vnitřního ostění - štuková</t>
  </si>
  <si>
    <t>(1,25+0,75+0,75)*0,15</t>
  </si>
  <si>
    <t>(0,9+2,1+2,1)*0,15</t>
  </si>
  <si>
    <t>62</t>
  </si>
  <si>
    <t>Úprava povrchů vnější</t>
  </si>
  <si>
    <t>44</t>
  </si>
  <si>
    <t>622421143R00</t>
  </si>
  <si>
    <t>Omítka vnější stěn, MVC, štuková, složitost 1-2</t>
  </si>
  <si>
    <t>62_</t>
  </si>
  <si>
    <t>18,53+24,94+18,53+1,89</t>
  </si>
  <si>
    <t>5,93+5,93+2,12</t>
  </si>
  <si>
    <t>plotová zeď</t>
  </si>
  <si>
    <t>63</t>
  </si>
  <si>
    <t>Podlahy a podlahové konstrukce</t>
  </si>
  <si>
    <t>45</t>
  </si>
  <si>
    <t>632421180R00</t>
  </si>
  <si>
    <t>Potěr WEBER Saint-Gobain,ručně zpracovaný,tl.65 mm</t>
  </si>
  <si>
    <t>63_</t>
  </si>
  <si>
    <t>46</t>
  </si>
  <si>
    <t>632411115R00</t>
  </si>
  <si>
    <t>Potěr ze SMS Cemix, ruční zpracování, tl. 15 mm</t>
  </si>
  <si>
    <t>711</t>
  </si>
  <si>
    <t>Izolace proti vodě</t>
  </si>
  <si>
    <t>47</t>
  </si>
  <si>
    <t>711111001RZ1</t>
  </si>
  <si>
    <t>Provedení izolace proti vlhkosti na ploše vodorovné, 1x asfaltovým penetračním nátěrem</t>
  </si>
  <si>
    <t>711_</t>
  </si>
  <si>
    <t>71_</t>
  </si>
  <si>
    <t>včetně dodávky asfaltového penetračního laku</t>
  </si>
  <si>
    <t>7,4*6,3</t>
  </si>
  <si>
    <t>48</t>
  </si>
  <si>
    <t>711141559RT2</t>
  </si>
  <si>
    <t>Provedení izolace proti vlhkosti na ploše vodorovné, asfaltovými pásy přitavením</t>
  </si>
  <si>
    <t>2 vrstvy - pásy ve specifikaci</t>
  </si>
  <si>
    <t>49</t>
  </si>
  <si>
    <t>62852265</t>
  </si>
  <si>
    <t>Pás asfaltový modifikovaný GLASTEK 40 SPECIAL mineral, natavovací, kotvicí</t>
  </si>
  <si>
    <t>;ztratné 5%; 2,331</t>
  </si>
  <si>
    <t>50</t>
  </si>
  <si>
    <t>62856000</t>
  </si>
  <si>
    <t>Pás asfaltový modifikovaný DEK R13</t>
  </si>
  <si>
    <t>46,62</t>
  </si>
  <si>
    <t>51</t>
  </si>
  <si>
    <t>711142559RY2</t>
  </si>
  <si>
    <t>Provedení izolace proti vlhkosti na ploše svislé, asfaltovými pásy přitavením</t>
  </si>
  <si>
    <t>1 vrstva - včetně dod. Glastek 40 special mineral</t>
  </si>
  <si>
    <t>(7,4+7,4+6,3)*0,95</t>
  </si>
  <si>
    <t>52</t>
  </si>
  <si>
    <t>711823121RT3</t>
  </si>
  <si>
    <t>Montáž nopové fólie svisle</t>
  </si>
  <si>
    <t>včetně dodávky fólie DELTA MS</t>
  </si>
  <si>
    <t>53</t>
  </si>
  <si>
    <t>711823129RT2</t>
  </si>
  <si>
    <t>Montáž ukončovací lišty k nopové fólii</t>
  </si>
  <si>
    <t>včetně dodávky lišty DELTA-MS PROFIL</t>
  </si>
  <si>
    <t>7,4+7,4+6,3</t>
  </si>
  <si>
    <t>54</t>
  </si>
  <si>
    <t>998711101R00</t>
  </si>
  <si>
    <t>Přesun hmot pro izolace proti vodě, výšky do 6 m</t>
  </si>
  <si>
    <t>721</t>
  </si>
  <si>
    <t>Vnitřní kanalizace</t>
  </si>
  <si>
    <t>55</t>
  </si>
  <si>
    <t>721242110RT2</t>
  </si>
  <si>
    <t>Lapač střešních splavenin PP HL600, kloub</t>
  </si>
  <si>
    <t>721_</t>
  </si>
  <si>
    <t>72_</t>
  </si>
  <si>
    <t>zápachová klapka, koš na listí, DN 125 mm</t>
  </si>
  <si>
    <t>56</t>
  </si>
  <si>
    <t>998721101R00</t>
  </si>
  <si>
    <t>Přesun hmot pro vnitřní kanalizaci, výšky do 6 m</t>
  </si>
  <si>
    <t>762</t>
  </si>
  <si>
    <t>Konstrukce tesařské</t>
  </si>
  <si>
    <t>57</t>
  </si>
  <si>
    <t>762900030RAB</t>
  </si>
  <si>
    <t>Demontáž dřevěného krovu</t>
  </si>
  <si>
    <t>762_</t>
  </si>
  <si>
    <t>76_</t>
  </si>
  <si>
    <t>s bedněním</t>
  </si>
  <si>
    <t>4,63*8</t>
  </si>
  <si>
    <t>5,28*8</t>
  </si>
  <si>
    <t>58</t>
  </si>
  <si>
    <t>762332110R00</t>
  </si>
  <si>
    <t>Montáž vázaných krovů pravidelných do 120 cm2</t>
  </si>
  <si>
    <t>50,4+14,4</t>
  </si>
  <si>
    <t>60515230</t>
  </si>
  <si>
    <t>Hranol stavební SM do 140 x 140mm</t>
  </si>
  <si>
    <t>2,445</t>
  </si>
  <si>
    <t>;ztratné 5%; 0,12225</t>
  </si>
  <si>
    <t>60</t>
  </si>
  <si>
    <t>762332120R00</t>
  </si>
  <si>
    <t>Montáž vázaných krovů pravidelných do 224 cm2</t>
  </si>
  <si>
    <t>80</t>
  </si>
  <si>
    <t>762342206RT4</t>
  </si>
  <si>
    <t>Montáž kontralatí na vruty, s těsnicí páskou</t>
  </si>
  <si>
    <t>včetně dodávky latí 4/6 cm</t>
  </si>
  <si>
    <t>70,06</t>
  </si>
  <si>
    <t>762342203RT4</t>
  </si>
  <si>
    <t>Montáž laťování střech, vzdálenost latí 22 - 36 cm</t>
  </si>
  <si>
    <t>včetně dodávky řeziva, latě 4/6 cm</t>
  </si>
  <si>
    <t>998762102R00</t>
  </si>
  <si>
    <t>Přesun hmot pro tesařské konstrukce, výšky do 12 m</t>
  </si>
  <si>
    <t>764</t>
  </si>
  <si>
    <t>Konstrukce klempířské</t>
  </si>
  <si>
    <t>64</t>
  </si>
  <si>
    <t>764311832RT1</t>
  </si>
  <si>
    <t>Demontáž krytiny, tabule 2 x 1 m, nad 25 m2, do 45°</t>
  </si>
  <si>
    <t>764_</t>
  </si>
  <si>
    <t>z Pz plechu</t>
  </si>
  <si>
    <t>65</t>
  </si>
  <si>
    <t>764901101RU4</t>
  </si>
  <si>
    <t>Lindab, tašková tabule Topline,na dřevo,do 30°</t>
  </si>
  <si>
    <t>STRONG tl.0,6 mm, povrch Elite</t>
  </si>
  <si>
    <t>66</t>
  </si>
  <si>
    <t>764901201R00</t>
  </si>
  <si>
    <t>Lindab Topline, tašková tabule, příplatek nad 30°</t>
  </si>
  <si>
    <t>70,6</t>
  </si>
  <si>
    <t>67</t>
  </si>
  <si>
    <t>764901203RT3</t>
  </si>
  <si>
    <t>Lindab Topline, štítové lemování vrchní</t>
  </si>
  <si>
    <t>povrchová úprava Elite</t>
  </si>
  <si>
    <t>4,6*2</t>
  </si>
  <si>
    <t>68</t>
  </si>
  <si>
    <t>764901205RT3</t>
  </si>
  <si>
    <t>Lindab Topline, okapový plech FOTP</t>
  </si>
  <si>
    <t>RŠ 205 mm, povrchová úprava Elite</t>
  </si>
  <si>
    <t>7,1+7,1</t>
  </si>
  <si>
    <t>69</t>
  </si>
  <si>
    <t>764901302RT6</t>
  </si>
  <si>
    <t>Lindab Topline hřeben, střecha jednoduchá, do 30°</t>
  </si>
  <si>
    <t>hřebenáč NTP UNI, povrchová úprava Elite</t>
  </si>
  <si>
    <t>7,1</t>
  </si>
  <si>
    <t>70</t>
  </si>
  <si>
    <t>764901303R00</t>
  </si>
  <si>
    <t>Lindab,jednoduch.zastř.hřebenáči,příplatek nad 30°</t>
  </si>
  <si>
    <t>71</t>
  </si>
  <si>
    <t>764906319RS4</t>
  </si>
  <si>
    <t>Lindab, lemování ke zdi</t>
  </si>
  <si>
    <t>Elite</t>
  </si>
  <si>
    <t>72</t>
  </si>
  <si>
    <t>764908102R00</t>
  </si>
  <si>
    <t>Lindab kotlík žlabový kónický SOK,vel.žlabu 150 mm</t>
  </si>
  <si>
    <t>73</t>
  </si>
  <si>
    <t>764908105R00</t>
  </si>
  <si>
    <t>Lindab žlab podokapní půlkruhový R,velikost 150 mm</t>
  </si>
  <si>
    <t>7,1*2</t>
  </si>
  <si>
    <t>74</t>
  </si>
  <si>
    <t>764908109R00</t>
  </si>
  <si>
    <t>Lindab odpadní trouby kruhové SROR, D 100 mm</t>
  </si>
  <si>
    <t>2,3*2</t>
  </si>
  <si>
    <t>75</t>
  </si>
  <si>
    <t>764908305R00</t>
  </si>
  <si>
    <t>Lindab, oplechování parapetů, rš 200 mm, enkolit</t>
  </si>
  <si>
    <t>1,25</t>
  </si>
  <si>
    <t>76</t>
  </si>
  <si>
    <t>764905913R00</t>
  </si>
  <si>
    <t>Lindab Ideal,Safety,sněh.zábrany trubk., l= 3,0 m</t>
  </si>
  <si>
    <t>77</t>
  </si>
  <si>
    <t>764906327R00</t>
  </si>
  <si>
    <t>Lindab,střešní vikýř, 600x600 mm</t>
  </si>
  <si>
    <t>78</t>
  </si>
  <si>
    <t>998764101R00</t>
  </si>
  <si>
    <t>Přesun hmot pro klempířské konstr., výšky do 6 m</t>
  </si>
  <si>
    <t>765</t>
  </si>
  <si>
    <t>Krytina tvrdá</t>
  </si>
  <si>
    <t>79</t>
  </si>
  <si>
    <t>765799311RK4</t>
  </si>
  <si>
    <t>Montáž fólie na krokve přibitím se slepením spojů</t>
  </si>
  <si>
    <t>765_</t>
  </si>
  <si>
    <t>podstřešní difúzní fólie Jutafol D 140 speciál</t>
  </si>
  <si>
    <t>998765101R00</t>
  </si>
  <si>
    <t>Přesun hmot pro krytiny tvrdé, výšky do 6 m</t>
  </si>
  <si>
    <t>766</t>
  </si>
  <si>
    <t>Konstrukce truhlářské</t>
  </si>
  <si>
    <t>81</t>
  </si>
  <si>
    <t>766427112R00</t>
  </si>
  <si>
    <t>Podkladový rošt pro obložení podhledů</t>
  </si>
  <si>
    <t>766_</t>
  </si>
  <si>
    <t>0,4*14*2</t>
  </si>
  <si>
    <t>82</t>
  </si>
  <si>
    <t>60510062</t>
  </si>
  <si>
    <t>Lať impregnovaná SM jakost I-II 40 x 60 mm</t>
  </si>
  <si>
    <t>11,2</t>
  </si>
  <si>
    <t>;ztratné 5%; 0,56</t>
  </si>
  <si>
    <t>83</t>
  </si>
  <si>
    <t>766421213R00</t>
  </si>
  <si>
    <t>Obložení podhledů jednod. palubkami SM š. do 10 cm</t>
  </si>
  <si>
    <t>0,4*7,1*2</t>
  </si>
  <si>
    <t>84</t>
  </si>
  <si>
    <t>61191684</t>
  </si>
  <si>
    <t>Palubka obkladová SM jakost A/B, tl. 19 mm, šířka 116 mm</t>
  </si>
  <si>
    <t>;ztratné 5%; 0,284</t>
  </si>
  <si>
    <t>85</t>
  </si>
  <si>
    <t>766711021RT2</t>
  </si>
  <si>
    <t>Montáž vstupních dveří s vypěněním</t>
  </si>
  <si>
    <t>na úchytky a hmoždinky</t>
  </si>
  <si>
    <t>0,9+0,9+2,1+2,1</t>
  </si>
  <si>
    <t>86</t>
  </si>
  <si>
    <t>61174111</t>
  </si>
  <si>
    <t>Dveře plastové vchodové 900 x 2100 mm L/P, fólie, plné, včetně zárubně</t>
  </si>
  <si>
    <t>87</t>
  </si>
  <si>
    <t>766711001R00</t>
  </si>
  <si>
    <t>Montáž plastových a dřevěných oken a balkonových dveří s vypěněním</t>
  </si>
  <si>
    <t>1,25+1,25+0,75+0,75</t>
  </si>
  <si>
    <t>88</t>
  </si>
  <si>
    <t>61143961</t>
  </si>
  <si>
    <t>Okno plastové se sklopným křídlem, 7 komor, 82 mm, oboustranně bílé</t>
  </si>
  <si>
    <t>1,25*0,75</t>
  </si>
  <si>
    <t>89</t>
  </si>
  <si>
    <t>998766101R00</t>
  </si>
  <si>
    <t>Přesun hmot pro truhlářské konstr., výšky do 6 m</t>
  </si>
  <si>
    <t>767</t>
  </si>
  <si>
    <t>Konstrukce doplňkové stavební (zámečnické)</t>
  </si>
  <si>
    <t>90</t>
  </si>
  <si>
    <t>767654210R00</t>
  </si>
  <si>
    <t>Montáž vrat posuvných do oc.konstrukce, pl.do 6 m2</t>
  </si>
  <si>
    <t>767_</t>
  </si>
  <si>
    <t>91</t>
  </si>
  <si>
    <t>5534451020</t>
  </si>
  <si>
    <t>Vrata ocelová sekční LOMAX DELTA privátní 2600 x 2100 mm, elektropohon</t>
  </si>
  <si>
    <t>92</t>
  </si>
  <si>
    <t>998767101R00</t>
  </si>
  <si>
    <t>Přesun hmot pro zámečnické konstr., výšky do 6 m</t>
  </si>
  <si>
    <t>Potrubí z trub plastických, skleněných a čedičových</t>
  </si>
  <si>
    <t>93</t>
  </si>
  <si>
    <t>871313121RU2</t>
  </si>
  <si>
    <t>Montáž trub kanaliz. z plastu, hrdlových, DN 150</t>
  </si>
  <si>
    <t>87_</t>
  </si>
  <si>
    <t>8_</t>
  </si>
  <si>
    <t>včetně dodávky trub KG SN4 125x3,2x5000</t>
  </si>
  <si>
    <t>95</t>
  </si>
  <si>
    <t>Různé dokončovací konstrukce a práce na pozemních stavbách</t>
  </si>
  <si>
    <t>94</t>
  </si>
  <si>
    <t>959791114R00</t>
  </si>
  <si>
    <t>Odvětrávací trouby z PVC, js 140 mm</t>
  </si>
  <si>
    <t>95_</t>
  </si>
  <si>
    <t>9_</t>
  </si>
  <si>
    <t>0,3*2</t>
  </si>
  <si>
    <t>96</t>
  </si>
  <si>
    <t>Bourání konstrukcí</t>
  </si>
  <si>
    <t>968061137R00</t>
  </si>
  <si>
    <t>Vyvěšení dřevěných a plastových křídel vrat plochy nad 4 m2</t>
  </si>
  <si>
    <t>96_</t>
  </si>
  <si>
    <t>968072559R00</t>
  </si>
  <si>
    <t>Vybourání kovových vrat plochy nad 5 m2</t>
  </si>
  <si>
    <t>5,2*2</t>
  </si>
  <si>
    <t>97</t>
  </si>
  <si>
    <t>968061112R00</t>
  </si>
  <si>
    <t>Vyvěšení dřevěných a plastových okenních křídel pl. do 1,5 m2</t>
  </si>
  <si>
    <t>98</t>
  </si>
  <si>
    <t>968061125R00</t>
  </si>
  <si>
    <t>Vyvěšení dřevěných a plastových dveřních křídel pl. do 2 m2</t>
  </si>
  <si>
    <t>99</t>
  </si>
  <si>
    <t>968083001R00</t>
  </si>
  <si>
    <t>Vybourání plastových oken do 1 m2</t>
  </si>
  <si>
    <t>0,5*0,25*2</t>
  </si>
  <si>
    <t>100</t>
  </si>
  <si>
    <t>968083021R00</t>
  </si>
  <si>
    <t>Vybourání plastových dveří plných pl. do 2 m2</t>
  </si>
  <si>
    <t>0,9*2,1</t>
  </si>
  <si>
    <t>101</t>
  </si>
  <si>
    <t>962032231R00</t>
  </si>
  <si>
    <t>Bourání zdiva z cihel pálených na MVC</t>
  </si>
  <si>
    <t>16,80*0,3</t>
  </si>
  <si>
    <t>30,14*0,3</t>
  </si>
  <si>
    <t>3,47*2,8*0,3</t>
  </si>
  <si>
    <t>22,42*0,3</t>
  </si>
  <si>
    <t>-2,6*2*0,3*2</t>
  </si>
  <si>
    <t>-0,5*0,25*2</t>
  </si>
  <si>
    <t>-0,9*2,1*0,3</t>
  </si>
  <si>
    <t>102</t>
  </si>
  <si>
    <t>965042241RT6</t>
  </si>
  <si>
    <t>Bourání mazanin betonových tl. nad 10 cm, nad 4 m2</t>
  </si>
  <si>
    <t>pneumat. kladivo, tl. mazaniny nad 20 cm</t>
  </si>
  <si>
    <t>47,36*0,25</t>
  </si>
  <si>
    <t>103</t>
  </si>
  <si>
    <t>961043111R00</t>
  </si>
  <si>
    <t>Bourání základů z betonu proloženého kamenem</t>
  </si>
  <si>
    <t>(8+7,46+6,98+3,47+8)*0,3*1</t>
  </si>
  <si>
    <t>Prorážení otvorů a ostatní bourací práce</t>
  </si>
  <si>
    <t>104</t>
  </si>
  <si>
    <t>970031160R00</t>
  </si>
  <si>
    <t>Vrtání jádrové do zdiva cihelného do D 160 mm</t>
  </si>
  <si>
    <t>97_</t>
  </si>
  <si>
    <t>0,6</t>
  </si>
  <si>
    <t>H01</t>
  </si>
  <si>
    <t>Budovy občanské výstavby</t>
  </si>
  <si>
    <t>105</t>
  </si>
  <si>
    <t>998011001R00</t>
  </si>
  <si>
    <t>Přesun hmot pro budovy zděné výšky do 6 m</t>
  </si>
  <si>
    <t>H01_</t>
  </si>
  <si>
    <t>60,029</t>
  </si>
  <si>
    <t>H22</t>
  </si>
  <si>
    <t>Komunikace pozemní a letiště</t>
  </si>
  <si>
    <t>106</t>
  </si>
  <si>
    <t>998223011R00</t>
  </si>
  <si>
    <t>Přesun hmot, pozemní komunikace, kryt dlážděný</t>
  </si>
  <si>
    <t>H22_</t>
  </si>
  <si>
    <t>3,03</t>
  </si>
  <si>
    <t>S</t>
  </si>
  <si>
    <t>Přesuny sutí</t>
  </si>
  <si>
    <t>107</t>
  </si>
  <si>
    <t>979084216R00</t>
  </si>
  <si>
    <t>Vodorovná doprava vybour. hmot po suchu do 5 km</t>
  </si>
  <si>
    <t>S_</t>
  </si>
  <si>
    <t>89,7</t>
  </si>
  <si>
    <t>108</t>
  </si>
  <si>
    <t>979951111R00</t>
  </si>
  <si>
    <t>Výkup kovů - železný šrot tl. do 4 mm</t>
  </si>
  <si>
    <t>0,5803</t>
  </si>
  <si>
    <t>109</t>
  </si>
  <si>
    <t>979990107R00</t>
  </si>
  <si>
    <t>Poplatek za uložení suti - směs betonu, cihel, dřeva, skupina odpadu 170904</t>
  </si>
  <si>
    <t>84,82</t>
  </si>
  <si>
    <t>110</t>
  </si>
  <si>
    <t>979990161R00</t>
  </si>
  <si>
    <t>Poplatek za uložení - dřevo, skupina odpadu 170201</t>
  </si>
  <si>
    <t>4,3</t>
  </si>
  <si>
    <t>Celkem:</t>
  </si>
  <si>
    <t>Poznámka: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</si>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</sst>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>
  <numFmts count="0"/>
  <fonts count="11">
    <font>
      <sz val="11"/>
      <name val="Calibri"/>
      <charset val="1"/>
    </font>
    <font>
      <color rgb="FF000000"/>
      <sz val="18"/>
      <name val="Arial"/>
      <charset val="238"/>
    </font>
    <font>
      <color rgb="FF000000"/>
      <sz val="10"/>
      <name val="Arial"/>
      <charset val="238"/>
      <b/>
    </font>
    <font>
      <color rgb="FF000000"/>
      <sz val="10"/>
      <name val="Arial"/>
      <charset val="238"/>
    </font>
    <font>
      <color rgb="FF000000"/>
      <sz val="10"/>
      <name val="Arial"/>
      <charset val="238"/>
      <i/>
    </font>
    <font>
      <color rgb="FF000000"/>
      <sz val="8"/>
      <name val="Arial"/>
      <charset val="238"/>
      <i/>
    </font>
    <font>
      <color rgb="FF000000"/>
      <sz val="18"/>
      <name val="Arial"/>
      <charset val="238"/>
      <b/>
    </font>
    <font>
      <color rgb="FF000000"/>
      <sz val="20"/>
      <name val="Arial"/>
      <charset val="238"/>
      <b/>
    </font>
    <font>
      <color rgb="FF000000"/>
      <sz val="11"/>
      <name val="Arial"/>
      <charset val="238"/>
      <b/>
    </font>
    <font>
      <color rgb="FF000000"/>
      <sz val="12"/>
      <name val="Arial"/>
      <charset val="238"/>
      <b/>
    </font>
    <font>
      <color rgb="FF000000"/>
      <sz val="12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borderId="0" fillId="0" fontId="0" numFmtId="0"/>
  </cellStyleXfs>
  <cellXfs count="148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4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3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1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8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19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0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3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4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6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7" fillId="0" fontId="2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8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29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2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0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5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2" fontId="2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2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2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1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4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4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4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6" fillId="0" fontId="3" numFmtId="1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3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5" fillId="0" fontId="6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6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8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2" fontId="7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4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4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6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8" fillId="0" fontId="10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9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5" fillId="0" fontId="10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0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1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38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2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37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2" fillId="2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4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5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6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7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8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9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0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1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2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3" fillId="0" fontId="10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29" fillId="0" fontId="5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8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5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6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17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4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52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3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41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5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6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7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3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8" fillId="0" fontId="3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2" fillId="0" fontId="2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69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9" numFmtId="0" xfId="0">
      <alignment horizontal="left" vertical="center" textRotation="0" shrinkToFit="false" wrapText="false"/>
      <protection hidden="false" locked="true"/>
    </xf>
    <xf applyAlignment="true" applyBorder="true" applyFill="true" applyNumberFormat="true" applyFont="true" applyProtection="true" borderId="73" fillId="0" fontId="9" numFmtId="4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0" fillId="0" fontId="9" numFmtId="0" xfId="0">
      <alignment horizontal="right" vertical="center" textRotation="0" shrinkToFit="false" wrapText="false"/>
      <protection hidden="false" locked="true"/>
    </xf>
    <xf applyAlignment="true" applyBorder="true" applyFill="true" applyNumberFormat="true" applyFont="true" applyProtection="true" borderId="71" fillId="0" fontId="9" numFmtId="0" xfId="0">
      <alignment horizontal="right" vertical="center" textRotation="0" shrinkToFit="false" wrapText="false"/>
      <protection hidden="false" locked="true"/>
    </xf>
  </cellXfs>
  <dxfs count="0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/xl/media/image1.jpeg" /></Relationships>
</file>

<file path=xl/drawings/drawing1.xml><?xml version="1.0" encoding="utf-8"?>
<xdr:wsDr xmlns:a="http://schemas.openxmlformats.org/drawingml/2006/main" xmlns:xdr="http://schemas.openxmlformats.org/drawingml/2006/spreadsheetDrawing">
  <xdr:absoluteAnchor>
    <xdr:pos x="0" y="0"/>
    <xdr:ext cx="1000125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a="http://schemas.openxmlformats.org/drawingml/2006/main" xmlns:xdr="http://schemas.openxmlformats.org/drawingml/2006/spreadsheetDrawing">
  <xdr:absoluteAnchor>
    <xdr:pos x="0" y="0"/>
    <xdr:ext cx="1000125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a="http://schemas.openxmlformats.org/drawingml/2006/main" xmlns:xdr="http://schemas.openxmlformats.org/drawingml/2006/spreadsheetDrawing">
  <xdr:absoluteAnchor>
    <xdr:pos x="0" y="0"/>
    <xdr:ext cx="1000125" cy="666750"/>
    <xdr:pic>
      <xdr:nvPicPr>
        <xdr:cNvPr id="1" name=""/>
        <xdr:cNvPicPr>
          <a:picLocks noChangeAspect="tru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BX313"/>
  <sheetViews>
    <sheetView workbookViewId="0" tabSelected="true" showZeros="true" showFormulas="false" showGridLines="true" showRowColHeaders="true">
      <pane topLeftCell="A12" state="frozen" activePane="bottomLeft" ySplit="11"/>
      <selection pane="bottomLeft" sqref="A313:K313" activeCell="A313"/>
    </sheetView>
  </sheetViews>
  <sheetFormatPr defaultColWidth="12.140625" customHeight="true" defaultRowHeight="15"/>
  <cols>
    <col max="1" min="1" style="0" width="3.99609375" customWidth="true"/>
    <col max="2" min="2" style="0" width="17.85546875" customWidth="true"/>
    <col max="3" min="3" style="0" width="42.85546875" customWidth="true"/>
    <col max="4" min="4" style="0" width="35.7109375" customWidth="true"/>
    <col max="5" min="5" style="0" width="4.42578125" customWidth="true"/>
    <col max="6" min="6" style="0" width="12.85546875" customWidth="true"/>
    <col max="7" min="7" style="0" width="12" customWidth="true"/>
    <col max="10" min="8" style="0" width="15.7109375" customWidth="true"/>
    <col max="11" min="11" style="0" width="14.7109375" customWidth="true"/>
    <col max="75" min="25" style="0" width="12.140625" hidden="true"/>
    <col max="76" min="76" style="0" width="78.5703125" customWidth="true" hidden="true"/>
    <col max="78" min="77" style="0" width="12.140625" hidden="true"/>
  </cols>
  <sheetData>
    <row r="1" customHeight="true" ht="54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AS1" s="2">
        <f>SUM(AJ1:AJ2)</f>
      </c>
      <c r="AT1" s="2">
        <f>SUM(AK1:AK2)</f>
      </c>
      <c r="AU1" s="2">
        <f>SUM(AL1:AL2)</f>
      </c>
    </row>
    <row r="2">
      <c r="A2" s="3" t="s">
        <v>1</v>
      </c>
      <c r="B2" s="4"/>
      <c r="C2" s="5" t="s">
        <v>2</v>
      </c>
      <c r="D2" s="6"/>
      <c r="E2" s="4" t="s">
        <v>3</v>
      </c>
      <c r="F2" s="4"/>
      <c r="G2" s="4" t="s">
        <v>4</v>
      </c>
      <c r="H2" s="7" t="s">
        <v>5</v>
      </c>
      <c r="I2" s="4" t="s">
        <v>6</v>
      </c>
      <c r="J2" s="4"/>
      <c r="K2" s="8"/>
    </row>
    <row r="3">
      <c r="A3" s="9"/>
      <c r="B3" s="10"/>
      <c r="C3" s="11"/>
      <c r="D3" s="11"/>
      <c r="E3" s="10"/>
      <c r="F3" s="10"/>
      <c r="G3" s="10"/>
      <c r="H3" s="10"/>
      <c r="I3" s="10"/>
      <c r="J3" s="10"/>
      <c r="K3" s="12"/>
    </row>
    <row r="4">
      <c r="A4" s="13" t="s">
        <v>7</v>
      </c>
      <c r="B4" s="10"/>
      <c r="C4" s="14" t="s">
        <v>4</v>
      </c>
      <c r="D4" s="10"/>
      <c r="E4" s="10" t="s">
        <v>8</v>
      </c>
      <c r="F4" s="10"/>
      <c r="G4" s="10" t="s">
        <v>9</v>
      </c>
      <c r="H4" s="14" t="s">
        <v>10</v>
      </c>
      <c r="I4" s="10" t="s">
        <v>6</v>
      </c>
      <c r="J4" s="10"/>
      <c r="K4" s="12"/>
    </row>
    <row r="5">
      <c r="A5" s="9"/>
      <c r="B5" s="10"/>
      <c r="C5" s="10"/>
      <c r="D5" s="10"/>
      <c r="E5" s="10"/>
      <c r="F5" s="10"/>
      <c r="G5" s="10"/>
      <c r="H5" s="10"/>
      <c r="I5" s="10"/>
      <c r="J5" s="10"/>
      <c r="K5" s="12"/>
    </row>
    <row r="6">
      <c r="A6" s="13" t="s">
        <v>11</v>
      </c>
      <c r="B6" s="10"/>
      <c r="C6" s="14" t="s">
        <v>12</v>
      </c>
      <c r="D6" s="10"/>
      <c r="E6" s="10" t="s">
        <v>13</v>
      </c>
      <c r="F6" s="10"/>
      <c r="G6" s="10" t="s">
        <v>4</v>
      </c>
      <c r="H6" s="14" t="s">
        <v>14</v>
      </c>
      <c r="I6" s="10" t="s">
        <v>6</v>
      </c>
      <c r="J6" s="10"/>
      <c r="K6" s="12"/>
    </row>
    <row r="7">
      <c r="A7" s="9"/>
      <c r="B7" s="10"/>
      <c r="C7" s="10"/>
      <c r="D7" s="10"/>
      <c r="E7" s="10"/>
      <c r="F7" s="10"/>
      <c r="G7" s="10"/>
      <c r="H7" s="10"/>
      <c r="I7" s="10"/>
      <c r="J7" s="10"/>
      <c r="K7" s="12"/>
    </row>
    <row r="8">
      <c r="A8" s="13" t="s">
        <v>15</v>
      </c>
      <c r="B8" s="10"/>
      <c r="C8" s="14" t="s">
        <v>4</v>
      </c>
      <c r="D8" s="10"/>
      <c r="E8" s="10" t="s">
        <v>16</v>
      </c>
      <c r="F8" s="10"/>
      <c r="G8" s="10" t="s">
        <v>9</v>
      </c>
      <c r="H8" s="14" t="s">
        <v>17</v>
      </c>
      <c r="I8" s="10" t="s">
        <v>6</v>
      </c>
      <c r="J8" s="10"/>
      <c r="K8" s="12"/>
    </row>
    <row r="9">
      <c r="A9" s="15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>
      <c r="A10" s="18" t="s">
        <v>18</v>
      </c>
      <c r="B10" s="19" t="s">
        <v>19</v>
      </c>
      <c r="C10" s="20" t="s">
        <v>20</v>
      </c>
      <c r="D10" s="21"/>
      <c r="E10" s="19" t="s">
        <v>21</v>
      </c>
      <c r="F10" s="22" t="s">
        <v>22</v>
      </c>
      <c r="G10" s="23" t="s">
        <v>23</v>
      </c>
      <c r="H10" s="24" t="s">
        <v>24</v>
      </c>
      <c r="I10" s="25"/>
      <c r="J10" s="26"/>
      <c r="K10" s="27" t="s">
        <v>25</v>
      </c>
      <c r="BK10" s="28" t="s">
        <v>26</v>
      </c>
      <c r="BL10" s="29" t="s">
        <v>27</v>
      </c>
      <c r="BW10" s="29" t="s">
        <v>28</v>
      </c>
    </row>
    <row r="11">
      <c r="A11" s="30" t="s">
        <v>4</v>
      </c>
      <c r="B11" s="31" t="s">
        <v>4</v>
      </c>
      <c r="C11" s="32" t="s">
        <v>29</v>
      </c>
      <c r="D11" s="33"/>
      <c r="E11" s="31" t="s">
        <v>4</v>
      </c>
      <c r="F11" s="31" t="s">
        <v>4</v>
      </c>
      <c r="G11" s="34" t="s">
        <v>30</v>
      </c>
      <c r="H11" s="35" t="s">
        <v>31</v>
      </c>
      <c r="I11" s="36" t="s">
        <v>32</v>
      </c>
      <c r="J11" s="37" t="s">
        <v>33</v>
      </c>
      <c r="K11" s="38" t="s">
        <v>34</v>
      </c>
      <c r="Z11" s="28" t="s">
        <v>35</v>
      </c>
      <c r="AA11" s="28" t="s">
        <v>36</v>
      </c>
      <c r="AB11" s="28" t="s">
        <v>37</v>
      </c>
      <c r="AC11" s="28" t="s">
        <v>38</v>
      </c>
      <c r="AD11" s="28" t="s">
        <v>39</v>
      </c>
      <c r="AE11" s="28" t="s">
        <v>40</v>
      </c>
      <c r="AF11" s="28" t="s">
        <v>41</v>
      </c>
      <c r="AG11" s="28" t="s">
        <v>42</v>
      </c>
      <c r="AH11" s="28" t="s">
        <v>43</v>
      </c>
      <c r="BH11" s="28" t="s">
        <v>44</v>
      </c>
      <c r="BI11" s="28" t="s">
        <v>45</v>
      </c>
      <c r="BJ11" s="28" t="s">
        <v>46</v>
      </c>
    </row>
    <row r="12">
      <c r="A12" s="39" t="s">
        <v>47</v>
      </c>
      <c r="B12" s="40" t="s">
        <v>48</v>
      </c>
      <c r="C12" s="41" t="s">
        <v>49</v>
      </c>
      <c r="D12" s="40"/>
      <c r="E12" s="42" t="s">
        <v>4</v>
      </c>
      <c r="F12" s="42" t="s">
        <v>4</v>
      </c>
      <c r="G12" s="42" t="s">
        <v>4</v>
      </c>
      <c r="H12" s="43">
        <f>SUM(H13:H13)</f>
      </c>
      <c r="I12" s="43">
        <f>SUM(I13:I13)</f>
      </c>
      <c r="J12" s="43">
        <f>SUM(J13:J13)</f>
      </c>
      <c r="K12" s="44" t="s">
        <v>47</v>
      </c>
      <c r="AI12" s="28" t="s">
        <v>47</v>
      </c>
      <c r="AS12" s="2">
        <f>SUM(AJ13:AJ13)</f>
      </c>
      <c r="AT12" s="2">
        <f>SUM(AK13:AK13)</f>
      </c>
      <c r="AU12" s="2">
        <f>SUM(AL13:AL13)</f>
      </c>
    </row>
    <row r="13">
      <c r="A13" s="9" t="s">
        <v>50</v>
      </c>
      <c r="B13" s="10" t="s">
        <v>51</v>
      </c>
      <c r="C13" s="14" t="s">
        <v>52</v>
      </c>
      <c r="D13" s="10"/>
      <c r="E13" s="10" t="s">
        <v>53</v>
      </c>
      <c r="F13" s="45" t="n">
        <v>7.4745</v>
      </c>
      <c r="G13" s="45" t="n">
        <v>0</v>
      </c>
      <c r="H13" s="45">
        <f>ROUND(F13*AO13,2)</f>
      </c>
      <c r="I13" s="45">
        <f>ROUND(F13*AP13,2)</f>
      </c>
      <c r="J13" s="45">
        <f>ROUND(F13*G13,2)</f>
      </c>
      <c r="K13" s="46" t="s">
        <v>54</v>
      </c>
      <c r="Z13" s="45">
        <f>ROUND(IF(AQ13="5",BJ13,0),2)</f>
      </c>
      <c r="AB13" s="45">
        <f>ROUND(IF(AQ13="1",BH13,0),2)</f>
      </c>
      <c r="AC13" s="45">
        <f>ROUND(IF(AQ13="1",BI13,0),2)</f>
      </c>
      <c r="AD13" s="45">
        <f>ROUND(IF(AQ13="7",BH13,0),2)</f>
      </c>
      <c r="AE13" s="45">
        <f>ROUND(IF(AQ13="7",BI13,0),2)</f>
      </c>
      <c r="AF13" s="45">
        <f>ROUND(IF(AQ13="2",BH13,0),2)</f>
      </c>
      <c r="AG13" s="45">
        <f>ROUND(IF(AQ13="2",BI13,0),2)</f>
      </c>
      <c r="AH13" s="45">
        <f>ROUND(IF(AQ13="0",BJ13,0),2)</f>
      </c>
      <c r="AI13" s="28" t="s">
        <v>47</v>
      </c>
      <c r="AJ13" s="45">
        <f>IF(AN13=0,J13,0)</f>
      </c>
      <c r="AK13" s="45">
        <f>IF(AN13=12,J13,0)</f>
      </c>
      <c r="AL13" s="45">
        <f>IF(AN13=21,J13,0)</f>
      </c>
      <c r="AN13" s="45" t="n">
        <v>21</v>
      </c>
      <c r="AO13" s="45">
        <f>G13*0</f>
      </c>
      <c r="AP13" s="45">
        <f>G13*(1-0)</f>
      </c>
      <c r="AQ13" s="47" t="s">
        <v>50</v>
      </c>
      <c r="AV13" s="45">
        <f>ROUND(AW13+AX13,2)</f>
      </c>
      <c r="AW13" s="45">
        <f>ROUND(F13*AO13,2)</f>
      </c>
      <c r="AX13" s="45">
        <f>ROUND(F13*AP13,2)</f>
      </c>
      <c r="AY13" s="47" t="s">
        <v>55</v>
      </c>
      <c r="AZ13" s="47" t="s">
        <v>56</v>
      </c>
      <c r="BA13" s="28" t="s">
        <v>57</v>
      </c>
      <c r="BC13" s="45">
        <f>AW13+AX13</f>
      </c>
      <c r="BD13" s="45">
        <f>G13/(100-BE13)*100</f>
      </c>
      <c r="BE13" s="45" t="n">
        <v>0</v>
      </c>
      <c r="BF13" s="45">
        <f>13</f>
      </c>
      <c r="BH13" s="45">
        <f>F13*AO13</f>
      </c>
      <c r="BI13" s="45">
        <f>F13*AP13</f>
      </c>
      <c r="BJ13" s="45">
        <f>F13*G13</f>
      </c>
      <c r="BK13" s="45"/>
      <c r="BL13" s="45" t="n">
        <v>12</v>
      </c>
      <c r="BW13" s="45" t="n">
        <v>21</v>
      </c>
      <c r="BX13" s="14" t="s">
        <v>52</v>
      </c>
    </row>
    <row r="14">
      <c r="A14" s="48"/>
      <c r="C14" s="49" t="s">
        <v>58</v>
      </c>
      <c r="D14" s="49" t="s">
        <v>47</v>
      </c>
      <c r="F14" s="50" t="n">
        <v>7.4745</v>
      </c>
      <c r="K14" s="51"/>
    </row>
    <row r="15">
      <c r="A15" s="52" t="s">
        <v>47</v>
      </c>
      <c r="B15" s="53" t="s">
        <v>59</v>
      </c>
      <c r="C15" s="54" t="s">
        <v>60</v>
      </c>
      <c r="D15" s="53"/>
      <c r="E15" s="55" t="s">
        <v>4</v>
      </c>
      <c r="F15" s="55" t="s">
        <v>4</v>
      </c>
      <c r="G15" s="55" t="s">
        <v>4</v>
      </c>
      <c r="H15" s="2">
        <f>SUM(H16:H22)</f>
      </c>
      <c r="I15" s="2">
        <f>SUM(I16:I22)</f>
      </c>
      <c r="J15" s="2">
        <f>SUM(J16:J22)</f>
      </c>
      <c r="K15" s="56" t="s">
        <v>47</v>
      </c>
      <c r="AI15" s="28" t="s">
        <v>47</v>
      </c>
      <c r="AS15" s="2">
        <f>SUM(AJ16:AJ22)</f>
      </c>
      <c r="AT15" s="2">
        <f>SUM(AK16:AK22)</f>
      </c>
      <c r="AU15" s="2">
        <f>SUM(AL16:AL22)</f>
      </c>
    </row>
    <row r="16">
      <c r="A16" s="9" t="s">
        <v>61</v>
      </c>
      <c r="B16" s="10" t="s">
        <v>62</v>
      </c>
      <c r="C16" s="14" t="s">
        <v>63</v>
      </c>
      <c r="D16" s="10"/>
      <c r="E16" s="10" t="s">
        <v>53</v>
      </c>
      <c r="F16" s="45" t="n">
        <v>21.2984</v>
      </c>
      <c r="G16" s="45" t="n">
        <v>0</v>
      </c>
      <c r="H16" s="45">
        <f>ROUND(F16*AO16,2)</f>
      </c>
      <c r="I16" s="45">
        <f>ROUND(F16*AP16,2)</f>
      </c>
      <c r="J16" s="45">
        <f>ROUND(F16*G16,2)</f>
      </c>
      <c r="K16" s="46" t="s">
        <v>54</v>
      </c>
      <c r="Z16" s="45">
        <f>ROUND(IF(AQ16="5",BJ16,0),2)</f>
      </c>
      <c r="AB16" s="45">
        <f>ROUND(IF(AQ16="1",BH16,0),2)</f>
      </c>
      <c r="AC16" s="45">
        <f>ROUND(IF(AQ16="1",BI16,0),2)</f>
      </c>
      <c r="AD16" s="45">
        <f>ROUND(IF(AQ16="7",BH16,0),2)</f>
      </c>
      <c r="AE16" s="45">
        <f>ROUND(IF(AQ16="7",BI16,0),2)</f>
      </c>
      <c r="AF16" s="45">
        <f>ROUND(IF(AQ16="2",BH16,0),2)</f>
      </c>
      <c r="AG16" s="45">
        <f>ROUND(IF(AQ16="2",BI16,0),2)</f>
      </c>
      <c r="AH16" s="45">
        <f>ROUND(IF(AQ16="0",BJ16,0),2)</f>
      </c>
      <c r="AI16" s="28" t="s">
        <v>47</v>
      </c>
      <c r="AJ16" s="45">
        <f>IF(AN16=0,J16,0)</f>
      </c>
      <c r="AK16" s="45">
        <f>IF(AN16=12,J16,0)</f>
      </c>
      <c r="AL16" s="45">
        <f>IF(AN16=21,J16,0)</f>
      </c>
      <c r="AN16" s="45" t="n">
        <v>21</v>
      </c>
      <c r="AO16" s="45">
        <f>G16*0</f>
      </c>
      <c r="AP16" s="45">
        <f>G16*(1-0)</f>
      </c>
      <c r="AQ16" s="47" t="s">
        <v>50</v>
      </c>
      <c r="AV16" s="45">
        <f>ROUND(AW16+AX16,2)</f>
      </c>
      <c r="AW16" s="45">
        <f>ROUND(F16*AO16,2)</f>
      </c>
      <c r="AX16" s="45">
        <f>ROUND(F16*AP16,2)</f>
      </c>
      <c r="AY16" s="47" t="s">
        <v>64</v>
      </c>
      <c r="AZ16" s="47" t="s">
        <v>56</v>
      </c>
      <c r="BA16" s="28" t="s">
        <v>57</v>
      </c>
      <c r="BC16" s="45">
        <f>AW16+AX16</f>
      </c>
      <c r="BD16" s="45">
        <f>G16/(100-BE16)*100</f>
      </c>
      <c r="BE16" s="45" t="n">
        <v>0</v>
      </c>
      <c r="BF16" s="45">
        <f>16</f>
      </c>
      <c r="BH16" s="45">
        <f>F16*AO16</f>
      </c>
      <c r="BI16" s="45">
        <f>F16*AP16</f>
      </c>
      <c r="BJ16" s="45">
        <f>F16*G16</f>
      </c>
      <c r="BK16" s="45"/>
      <c r="BL16" s="45" t="n">
        <v>13</v>
      </c>
      <c r="BW16" s="45" t="n">
        <v>21</v>
      </c>
      <c r="BX16" s="14" t="s">
        <v>63</v>
      </c>
    </row>
    <row r="17">
      <c r="A17" s="48"/>
      <c r="C17" s="49" t="s">
        <v>65</v>
      </c>
      <c r="D17" s="49" t="s">
        <v>47</v>
      </c>
      <c r="F17" s="50" t="n">
        <v>21.2984</v>
      </c>
      <c r="K17" s="51"/>
    </row>
    <row r="18">
      <c r="A18" s="9" t="s">
        <v>66</v>
      </c>
      <c r="B18" s="10" t="s">
        <v>67</v>
      </c>
      <c r="C18" s="14" t="s">
        <v>68</v>
      </c>
      <c r="D18" s="10"/>
      <c r="E18" s="10" t="s">
        <v>53</v>
      </c>
      <c r="F18" s="45" t="n">
        <v>21.2984</v>
      </c>
      <c r="G18" s="45" t="n">
        <v>0</v>
      </c>
      <c r="H18" s="45">
        <f>ROUND(F18*AO18,2)</f>
      </c>
      <c r="I18" s="45">
        <f>ROUND(F18*AP18,2)</f>
      </c>
      <c r="J18" s="45">
        <f>ROUND(F18*G18,2)</f>
      </c>
      <c r="K18" s="46" t="s">
        <v>54</v>
      </c>
      <c r="Z18" s="45">
        <f>ROUND(IF(AQ18="5",BJ18,0),2)</f>
      </c>
      <c r="AB18" s="45">
        <f>ROUND(IF(AQ18="1",BH18,0),2)</f>
      </c>
      <c r="AC18" s="45">
        <f>ROUND(IF(AQ18="1",BI18,0),2)</f>
      </c>
      <c r="AD18" s="45">
        <f>ROUND(IF(AQ18="7",BH18,0),2)</f>
      </c>
      <c r="AE18" s="45">
        <f>ROUND(IF(AQ18="7",BI18,0),2)</f>
      </c>
      <c r="AF18" s="45">
        <f>ROUND(IF(AQ18="2",BH18,0),2)</f>
      </c>
      <c r="AG18" s="45">
        <f>ROUND(IF(AQ18="2",BI18,0),2)</f>
      </c>
      <c r="AH18" s="45">
        <f>ROUND(IF(AQ18="0",BJ18,0),2)</f>
      </c>
      <c r="AI18" s="28" t="s">
        <v>47</v>
      </c>
      <c r="AJ18" s="45">
        <f>IF(AN18=0,J18,0)</f>
      </c>
      <c r="AK18" s="45">
        <f>IF(AN18=12,J18,0)</f>
      </c>
      <c r="AL18" s="45">
        <f>IF(AN18=21,J18,0)</f>
      </c>
      <c r="AN18" s="45" t="n">
        <v>21</v>
      </c>
      <c r="AO18" s="45">
        <f>G18*0</f>
      </c>
      <c r="AP18" s="45">
        <f>G18*(1-0)</f>
      </c>
      <c r="AQ18" s="47" t="s">
        <v>50</v>
      </c>
      <c r="AV18" s="45">
        <f>ROUND(AW18+AX18,2)</f>
      </c>
      <c r="AW18" s="45">
        <f>ROUND(F18*AO18,2)</f>
      </c>
      <c r="AX18" s="45">
        <f>ROUND(F18*AP18,2)</f>
      </c>
      <c r="AY18" s="47" t="s">
        <v>64</v>
      </c>
      <c r="AZ18" s="47" t="s">
        <v>56</v>
      </c>
      <c r="BA18" s="28" t="s">
        <v>57</v>
      </c>
      <c r="BC18" s="45">
        <f>AW18+AX18</f>
      </c>
      <c r="BD18" s="45">
        <f>G18/(100-BE18)*100</f>
      </c>
      <c r="BE18" s="45" t="n">
        <v>0</v>
      </c>
      <c r="BF18" s="45">
        <f>18</f>
      </c>
      <c r="BH18" s="45">
        <f>F18*AO18</f>
      </c>
      <c r="BI18" s="45">
        <f>F18*AP18</f>
      </c>
      <c r="BJ18" s="45">
        <f>F18*G18</f>
      </c>
      <c r="BK18" s="45"/>
      <c r="BL18" s="45" t="n">
        <v>13</v>
      </c>
      <c r="BW18" s="45" t="n">
        <v>21</v>
      </c>
      <c r="BX18" s="14" t="s">
        <v>68</v>
      </c>
    </row>
    <row r="19">
      <c r="A19" s="48"/>
      <c r="C19" s="49" t="s">
        <v>65</v>
      </c>
      <c r="D19" s="49" t="s">
        <v>47</v>
      </c>
      <c r="F19" s="50" t="n">
        <v>21.2984</v>
      </c>
      <c r="K19" s="51"/>
    </row>
    <row r="20">
      <c r="A20" s="9" t="s">
        <v>69</v>
      </c>
      <c r="B20" s="10" t="s">
        <v>70</v>
      </c>
      <c r="C20" s="14" t="s">
        <v>71</v>
      </c>
      <c r="D20" s="10"/>
      <c r="E20" s="10" t="s">
        <v>53</v>
      </c>
      <c r="F20" s="45" t="n">
        <v>1.44</v>
      </c>
      <c r="G20" s="45" t="n">
        <v>0</v>
      </c>
      <c r="H20" s="45">
        <f>ROUND(F20*AO20,2)</f>
      </c>
      <c r="I20" s="45">
        <f>ROUND(F20*AP20,2)</f>
      </c>
      <c r="J20" s="45">
        <f>ROUND(F20*G20,2)</f>
      </c>
      <c r="K20" s="46" t="s">
        <v>54</v>
      </c>
      <c r="Z20" s="45">
        <f>ROUND(IF(AQ20="5",BJ20,0),2)</f>
      </c>
      <c r="AB20" s="45">
        <f>ROUND(IF(AQ20="1",BH20,0),2)</f>
      </c>
      <c r="AC20" s="45">
        <f>ROUND(IF(AQ20="1",BI20,0),2)</f>
      </c>
      <c r="AD20" s="45">
        <f>ROUND(IF(AQ20="7",BH20,0),2)</f>
      </c>
      <c r="AE20" s="45">
        <f>ROUND(IF(AQ20="7",BI20,0),2)</f>
      </c>
      <c r="AF20" s="45">
        <f>ROUND(IF(AQ20="2",BH20,0),2)</f>
      </c>
      <c r="AG20" s="45">
        <f>ROUND(IF(AQ20="2",BI20,0),2)</f>
      </c>
      <c r="AH20" s="45">
        <f>ROUND(IF(AQ20="0",BJ20,0),2)</f>
      </c>
      <c r="AI20" s="28" t="s">
        <v>47</v>
      </c>
      <c r="AJ20" s="45">
        <f>IF(AN20=0,J20,0)</f>
      </c>
      <c r="AK20" s="45">
        <f>IF(AN20=12,J20,0)</f>
      </c>
      <c r="AL20" s="45">
        <f>IF(AN20=21,J20,0)</f>
      </c>
      <c r="AN20" s="45" t="n">
        <v>21</v>
      </c>
      <c r="AO20" s="45">
        <f>G20*0</f>
      </c>
      <c r="AP20" s="45">
        <f>G20*(1-0)</f>
      </c>
      <c r="AQ20" s="47" t="s">
        <v>50</v>
      </c>
      <c r="AV20" s="45">
        <f>ROUND(AW20+AX20,2)</f>
      </c>
      <c r="AW20" s="45">
        <f>ROUND(F20*AO20,2)</f>
      </c>
      <c r="AX20" s="45">
        <f>ROUND(F20*AP20,2)</f>
      </c>
      <c r="AY20" s="47" t="s">
        <v>64</v>
      </c>
      <c r="AZ20" s="47" t="s">
        <v>56</v>
      </c>
      <c r="BA20" s="28" t="s">
        <v>57</v>
      </c>
      <c r="BC20" s="45">
        <f>AW20+AX20</f>
      </c>
      <c r="BD20" s="45">
        <f>G20/(100-BE20)*100</f>
      </c>
      <c r="BE20" s="45" t="n">
        <v>0</v>
      </c>
      <c r="BF20" s="45">
        <f>20</f>
      </c>
      <c r="BH20" s="45">
        <f>F20*AO20</f>
      </c>
      <c r="BI20" s="45">
        <f>F20*AP20</f>
      </c>
      <c r="BJ20" s="45">
        <f>F20*G20</f>
      </c>
      <c r="BK20" s="45"/>
      <c r="BL20" s="45" t="n">
        <v>13</v>
      </c>
      <c r="BW20" s="45" t="n">
        <v>21</v>
      </c>
      <c r="BX20" s="14" t="s">
        <v>71</v>
      </c>
    </row>
    <row r="21">
      <c r="A21" s="48"/>
      <c r="C21" s="49" t="s">
        <v>72</v>
      </c>
      <c r="D21" s="49" t="s">
        <v>73</v>
      </c>
      <c r="F21" s="50" t="n">
        <v>1.44</v>
      </c>
      <c r="K21" s="51"/>
    </row>
    <row r="22">
      <c r="A22" s="9" t="s">
        <v>74</v>
      </c>
      <c r="B22" s="10" t="s">
        <v>75</v>
      </c>
      <c r="C22" s="14" t="s">
        <v>76</v>
      </c>
      <c r="D22" s="10"/>
      <c r="E22" s="10" t="s">
        <v>53</v>
      </c>
      <c r="F22" s="45" t="n">
        <v>5.76</v>
      </c>
      <c r="G22" s="45" t="n">
        <v>0</v>
      </c>
      <c r="H22" s="45">
        <f>ROUND(F22*AO22,2)</f>
      </c>
      <c r="I22" s="45">
        <f>ROUND(F22*AP22,2)</f>
      </c>
      <c r="J22" s="45">
        <f>ROUND(F22*G22,2)</f>
      </c>
      <c r="K22" s="46" t="s">
        <v>54</v>
      </c>
      <c r="Z22" s="45">
        <f>ROUND(IF(AQ22="5",BJ22,0),2)</f>
      </c>
      <c r="AB22" s="45">
        <f>ROUND(IF(AQ22="1",BH22,0),2)</f>
      </c>
      <c r="AC22" s="45">
        <f>ROUND(IF(AQ22="1",BI22,0),2)</f>
      </c>
      <c r="AD22" s="45">
        <f>ROUND(IF(AQ22="7",BH22,0),2)</f>
      </c>
      <c r="AE22" s="45">
        <f>ROUND(IF(AQ22="7",BI22,0),2)</f>
      </c>
      <c r="AF22" s="45">
        <f>ROUND(IF(AQ22="2",BH22,0),2)</f>
      </c>
      <c r="AG22" s="45">
        <f>ROUND(IF(AQ22="2",BI22,0),2)</f>
      </c>
      <c r="AH22" s="45">
        <f>ROUND(IF(AQ22="0",BJ22,0),2)</f>
      </c>
      <c r="AI22" s="28" t="s">
        <v>47</v>
      </c>
      <c r="AJ22" s="45">
        <f>IF(AN22=0,J22,0)</f>
      </c>
      <c r="AK22" s="45">
        <f>IF(AN22=12,J22,0)</f>
      </c>
      <c r="AL22" s="45">
        <f>IF(AN22=21,J22,0)</f>
      </c>
      <c r="AN22" s="45" t="n">
        <v>21</v>
      </c>
      <c r="AO22" s="45">
        <f>G22*0</f>
      </c>
      <c r="AP22" s="45">
        <f>G22*(1-0)</f>
      </c>
      <c r="AQ22" s="47" t="s">
        <v>50</v>
      </c>
      <c r="AV22" s="45">
        <f>ROUND(AW22+AX22,2)</f>
      </c>
      <c r="AW22" s="45">
        <f>ROUND(F22*AO22,2)</f>
      </c>
      <c r="AX22" s="45">
        <f>ROUND(F22*AP22,2)</f>
      </c>
      <c r="AY22" s="47" t="s">
        <v>64</v>
      </c>
      <c r="AZ22" s="47" t="s">
        <v>56</v>
      </c>
      <c r="BA22" s="28" t="s">
        <v>57</v>
      </c>
      <c r="BC22" s="45">
        <f>AW22+AX22</f>
      </c>
      <c r="BD22" s="45">
        <f>G22/(100-BE22)*100</f>
      </c>
      <c r="BE22" s="45" t="n">
        <v>0</v>
      </c>
      <c r="BF22" s="45">
        <f>22</f>
      </c>
      <c r="BH22" s="45">
        <f>F22*AO22</f>
      </c>
      <c r="BI22" s="45">
        <f>F22*AP22</f>
      </c>
      <c r="BJ22" s="45">
        <f>F22*G22</f>
      </c>
      <c r="BK22" s="45"/>
      <c r="BL22" s="45" t="n">
        <v>13</v>
      </c>
      <c r="BW22" s="45" t="n">
        <v>21</v>
      </c>
      <c r="BX22" s="14" t="s">
        <v>76</v>
      </c>
    </row>
    <row r="23">
      <c r="A23" s="48"/>
      <c r="C23" s="49" t="s">
        <v>77</v>
      </c>
      <c r="D23" s="49" t="s">
        <v>78</v>
      </c>
      <c r="F23" s="50" t="n">
        <v>5.76</v>
      </c>
      <c r="K23" s="51"/>
    </row>
    <row r="24">
      <c r="A24" s="52" t="s">
        <v>47</v>
      </c>
      <c r="B24" s="53" t="s">
        <v>79</v>
      </c>
      <c r="C24" s="54" t="s">
        <v>80</v>
      </c>
      <c r="D24" s="53"/>
      <c r="E24" s="55" t="s">
        <v>4</v>
      </c>
      <c r="F24" s="55" t="s">
        <v>4</v>
      </c>
      <c r="G24" s="55" t="s">
        <v>4</v>
      </c>
      <c r="H24" s="2">
        <f>SUM(H25:H25)</f>
      </c>
      <c r="I24" s="2">
        <f>SUM(I25:I25)</f>
      </c>
      <c r="J24" s="2">
        <f>SUM(J25:J25)</f>
      </c>
      <c r="K24" s="56" t="s">
        <v>47</v>
      </c>
      <c r="AI24" s="28" t="s">
        <v>47</v>
      </c>
      <c r="AS24" s="2">
        <f>SUM(AJ25:AJ25)</f>
      </c>
      <c r="AT24" s="2">
        <f>SUM(AK25:AK25)</f>
      </c>
      <c r="AU24" s="2">
        <f>SUM(AL25:AL25)</f>
      </c>
    </row>
    <row r="25">
      <c r="A25" s="9" t="s">
        <v>81</v>
      </c>
      <c r="B25" s="10" t="s">
        <v>82</v>
      </c>
      <c r="C25" s="14" t="s">
        <v>83</v>
      </c>
      <c r="D25" s="10"/>
      <c r="E25" s="10" t="s">
        <v>53</v>
      </c>
      <c r="F25" s="45" t="n">
        <v>19.1744</v>
      </c>
      <c r="G25" s="45" t="n">
        <v>0</v>
      </c>
      <c r="H25" s="45">
        <f>ROUND(F25*AO25,2)</f>
      </c>
      <c r="I25" s="45">
        <f>ROUND(F25*AP25,2)</f>
      </c>
      <c r="J25" s="45">
        <f>ROUND(F25*G25,2)</f>
      </c>
      <c r="K25" s="46" t="s">
        <v>54</v>
      </c>
      <c r="Z25" s="45">
        <f>ROUND(IF(AQ25="5",BJ25,0),2)</f>
      </c>
      <c r="AB25" s="45">
        <f>ROUND(IF(AQ25="1",BH25,0),2)</f>
      </c>
      <c r="AC25" s="45">
        <f>ROUND(IF(AQ25="1",BI25,0),2)</f>
      </c>
      <c r="AD25" s="45">
        <f>ROUND(IF(AQ25="7",BH25,0),2)</f>
      </c>
      <c r="AE25" s="45">
        <f>ROUND(IF(AQ25="7",BI25,0),2)</f>
      </c>
      <c r="AF25" s="45">
        <f>ROUND(IF(AQ25="2",BH25,0),2)</f>
      </c>
      <c r="AG25" s="45">
        <f>ROUND(IF(AQ25="2",BI25,0),2)</f>
      </c>
      <c r="AH25" s="45">
        <f>ROUND(IF(AQ25="0",BJ25,0),2)</f>
      </c>
      <c r="AI25" s="28" t="s">
        <v>47</v>
      </c>
      <c r="AJ25" s="45">
        <f>IF(AN25=0,J25,0)</f>
      </c>
      <c r="AK25" s="45">
        <f>IF(AN25=12,J25,0)</f>
      </c>
      <c r="AL25" s="45">
        <f>IF(AN25=21,J25,0)</f>
      </c>
      <c r="AN25" s="45" t="n">
        <v>21</v>
      </c>
      <c r="AO25" s="45">
        <f>G25*0</f>
      </c>
      <c r="AP25" s="45">
        <f>G25*(1-0)</f>
      </c>
      <c r="AQ25" s="47" t="s">
        <v>50</v>
      </c>
      <c r="AV25" s="45">
        <f>ROUND(AW25+AX25,2)</f>
      </c>
      <c r="AW25" s="45">
        <f>ROUND(F25*AO25,2)</f>
      </c>
      <c r="AX25" s="45">
        <f>ROUND(F25*AP25,2)</f>
      </c>
      <c r="AY25" s="47" t="s">
        <v>84</v>
      </c>
      <c r="AZ25" s="47" t="s">
        <v>56</v>
      </c>
      <c r="BA25" s="28" t="s">
        <v>57</v>
      </c>
      <c r="BC25" s="45">
        <f>AW25+AX25</f>
      </c>
      <c r="BD25" s="45">
        <f>G25/(100-BE25)*100</f>
      </c>
      <c r="BE25" s="45" t="n">
        <v>0</v>
      </c>
      <c r="BF25" s="45">
        <f>25</f>
      </c>
      <c r="BH25" s="45">
        <f>F25*AO25</f>
      </c>
      <c r="BI25" s="45">
        <f>F25*AP25</f>
      </c>
      <c r="BJ25" s="45">
        <f>F25*G25</f>
      </c>
      <c r="BK25" s="45"/>
      <c r="BL25" s="45" t="n">
        <v>16</v>
      </c>
      <c r="BW25" s="45" t="n">
        <v>21</v>
      </c>
      <c r="BX25" s="14" t="s">
        <v>83</v>
      </c>
    </row>
    <row r="26">
      <c r="A26" s="48"/>
      <c r="C26" s="49" t="s">
        <v>65</v>
      </c>
      <c r="D26" s="49" t="s">
        <v>47</v>
      </c>
      <c r="F26" s="50" t="n">
        <v>21.2984</v>
      </c>
      <c r="K26" s="51"/>
    </row>
    <row r="27">
      <c r="A27" s="48"/>
      <c r="C27" s="49" t="s">
        <v>77</v>
      </c>
      <c r="D27" s="49" t="s">
        <v>78</v>
      </c>
      <c r="F27" s="50" t="n">
        <v>5.76</v>
      </c>
      <c r="K27" s="51"/>
    </row>
    <row r="28">
      <c r="A28" s="48"/>
      <c r="C28" s="49" t="s">
        <v>85</v>
      </c>
      <c r="D28" s="49" t="s">
        <v>47</v>
      </c>
      <c r="F28" s="50" t="n">
        <v>-7.884</v>
      </c>
      <c r="K28" s="51"/>
    </row>
    <row r="29">
      <c r="A29" s="52" t="s">
        <v>47</v>
      </c>
      <c r="B29" s="53" t="s">
        <v>86</v>
      </c>
      <c r="C29" s="54" t="s">
        <v>87</v>
      </c>
      <c r="D29" s="53"/>
      <c r="E29" s="55" t="s">
        <v>4</v>
      </c>
      <c r="F29" s="55" t="s">
        <v>4</v>
      </c>
      <c r="G29" s="55" t="s">
        <v>4</v>
      </c>
      <c r="H29" s="2">
        <f>SUM(H30:H33)</f>
      </c>
      <c r="I29" s="2">
        <f>SUM(I30:I33)</f>
      </c>
      <c r="J29" s="2">
        <f>SUM(J30:J33)</f>
      </c>
      <c r="K29" s="56" t="s">
        <v>47</v>
      </c>
      <c r="AI29" s="28" t="s">
        <v>47</v>
      </c>
      <c r="AS29" s="2">
        <f>SUM(AJ30:AJ33)</f>
      </c>
      <c r="AT29" s="2">
        <f>SUM(AK30:AK33)</f>
      </c>
      <c r="AU29" s="2">
        <f>SUM(AL30:AL33)</f>
      </c>
    </row>
    <row r="30">
      <c r="A30" s="9" t="s">
        <v>88</v>
      </c>
      <c r="B30" s="10" t="s">
        <v>89</v>
      </c>
      <c r="C30" s="14" t="s">
        <v>90</v>
      </c>
      <c r="D30" s="10"/>
      <c r="E30" s="10" t="s">
        <v>53</v>
      </c>
      <c r="F30" s="45" t="n">
        <v>0.54</v>
      </c>
      <c r="G30" s="45" t="n">
        <v>0</v>
      </c>
      <c r="H30" s="45">
        <f>ROUND(F30*AO30,2)</f>
      </c>
      <c r="I30" s="45">
        <f>ROUND(F30*AP30,2)</f>
      </c>
      <c r="J30" s="45">
        <f>ROUND(F30*G30,2)</f>
      </c>
      <c r="K30" s="46" t="s">
        <v>54</v>
      </c>
      <c r="Z30" s="45">
        <f>ROUND(IF(AQ30="5",BJ30,0),2)</f>
      </c>
      <c r="AB30" s="45">
        <f>ROUND(IF(AQ30="1",BH30,0),2)</f>
      </c>
      <c r="AC30" s="45">
        <f>ROUND(IF(AQ30="1",BI30,0),2)</f>
      </c>
      <c r="AD30" s="45">
        <f>ROUND(IF(AQ30="7",BH30,0),2)</f>
      </c>
      <c r="AE30" s="45">
        <f>ROUND(IF(AQ30="7",BI30,0),2)</f>
      </c>
      <c r="AF30" s="45">
        <f>ROUND(IF(AQ30="2",BH30,0),2)</f>
      </c>
      <c r="AG30" s="45">
        <f>ROUND(IF(AQ30="2",BI30,0),2)</f>
      </c>
      <c r="AH30" s="45">
        <f>ROUND(IF(AQ30="0",BJ30,0),2)</f>
      </c>
      <c r="AI30" s="28" t="s">
        <v>47</v>
      </c>
      <c r="AJ30" s="45">
        <f>IF(AN30=0,J30,0)</f>
      </c>
      <c r="AK30" s="45">
        <f>IF(AN30=12,J30,0)</f>
      </c>
      <c r="AL30" s="45">
        <f>IF(AN30=21,J30,0)</f>
      </c>
      <c r="AN30" s="45" t="n">
        <v>21</v>
      </c>
      <c r="AO30" s="45">
        <f>G30*0.496429592</f>
      </c>
      <c r="AP30" s="45">
        <f>G30*(1-0.496429592)</f>
      </c>
      <c r="AQ30" s="47" t="s">
        <v>50</v>
      </c>
      <c r="AV30" s="45">
        <f>ROUND(AW30+AX30,2)</f>
      </c>
      <c r="AW30" s="45">
        <f>ROUND(F30*AO30,2)</f>
      </c>
      <c r="AX30" s="45">
        <f>ROUND(F30*AP30,2)</f>
      </c>
      <c r="AY30" s="47" t="s">
        <v>91</v>
      </c>
      <c r="AZ30" s="47" t="s">
        <v>56</v>
      </c>
      <c r="BA30" s="28" t="s">
        <v>57</v>
      </c>
      <c r="BC30" s="45">
        <f>AW30+AX30</f>
      </c>
      <c r="BD30" s="45">
        <f>G30/(100-BE30)*100</f>
      </c>
      <c r="BE30" s="45" t="n">
        <v>0</v>
      </c>
      <c r="BF30" s="45">
        <f>30</f>
      </c>
      <c r="BH30" s="45">
        <f>F30*AO30</f>
      </c>
      <c r="BI30" s="45">
        <f>F30*AP30</f>
      </c>
      <c r="BJ30" s="45">
        <f>F30*G30</f>
      </c>
      <c r="BK30" s="45"/>
      <c r="BL30" s="45" t="n">
        <v>17</v>
      </c>
      <c r="BW30" s="45" t="n">
        <v>21</v>
      </c>
      <c r="BX30" s="14" t="s">
        <v>90</v>
      </c>
    </row>
    <row r="31" customHeight="true" ht="13.5">
      <c r="A31" s="48"/>
      <c r="B31" s="57" t="s">
        <v>92</v>
      </c>
      <c r="C31" s="58" t="s">
        <v>93</v>
      </c>
      <c r="D31" s="49"/>
      <c r="E31" s="49"/>
      <c r="F31" s="49"/>
      <c r="G31" s="49"/>
      <c r="H31" s="49"/>
      <c r="I31" s="49"/>
      <c r="J31" s="49"/>
      <c r="K31" s="59"/>
    </row>
    <row r="32">
      <c r="A32" s="48"/>
      <c r="C32" s="49" t="s">
        <v>94</v>
      </c>
      <c r="D32" s="49" t="s">
        <v>47</v>
      </c>
      <c r="F32" s="50" t="n">
        <v>0.54</v>
      </c>
      <c r="K32" s="51"/>
    </row>
    <row r="33">
      <c r="A33" s="9" t="s">
        <v>95</v>
      </c>
      <c r="B33" s="10" t="s">
        <v>96</v>
      </c>
      <c r="C33" s="14" t="s">
        <v>97</v>
      </c>
      <c r="D33" s="10"/>
      <c r="E33" s="10" t="s">
        <v>53</v>
      </c>
      <c r="F33" s="45" t="n">
        <v>7.884</v>
      </c>
      <c r="G33" s="45" t="n">
        <v>0</v>
      </c>
      <c r="H33" s="45">
        <f>ROUND(F33*AO33,2)</f>
      </c>
      <c r="I33" s="45">
        <f>ROUND(F33*AP33,2)</f>
      </c>
      <c r="J33" s="45">
        <f>ROUND(F33*G33,2)</f>
      </c>
      <c r="K33" s="46" t="s">
        <v>54</v>
      </c>
      <c r="Z33" s="45">
        <f>ROUND(IF(AQ33="5",BJ33,0),2)</f>
      </c>
      <c r="AB33" s="45">
        <f>ROUND(IF(AQ33="1",BH33,0),2)</f>
      </c>
      <c r="AC33" s="45">
        <f>ROUND(IF(AQ33="1",BI33,0),2)</f>
      </c>
      <c r="AD33" s="45">
        <f>ROUND(IF(AQ33="7",BH33,0),2)</f>
      </c>
      <c r="AE33" s="45">
        <f>ROUND(IF(AQ33="7",BI33,0),2)</f>
      </c>
      <c r="AF33" s="45">
        <f>ROUND(IF(AQ33="2",BH33,0),2)</f>
      </c>
      <c r="AG33" s="45">
        <f>ROUND(IF(AQ33="2",BI33,0),2)</f>
      </c>
      <c r="AH33" s="45">
        <f>ROUND(IF(AQ33="0",BJ33,0),2)</f>
      </c>
      <c r="AI33" s="28" t="s">
        <v>47</v>
      </c>
      <c r="AJ33" s="45">
        <f>IF(AN33=0,J33,0)</f>
      </c>
      <c r="AK33" s="45">
        <f>IF(AN33=12,J33,0)</f>
      </c>
      <c r="AL33" s="45">
        <f>IF(AN33=21,J33,0)</f>
      </c>
      <c r="AN33" s="45" t="n">
        <v>21</v>
      </c>
      <c r="AO33" s="45">
        <f>G33*0</f>
      </c>
      <c r="AP33" s="45">
        <f>G33*(1-0)</f>
      </c>
      <c r="AQ33" s="47" t="s">
        <v>50</v>
      </c>
      <c r="AV33" s="45">
        <f>ROUND(AW33+AX33,2)</f>
      </c>
      <c r="AW33" s="45">
        <f>ROUND(F33*AO33,2)</f>
      </c>
      <c r="AX33" s="45">
        <f>ROUND(F33*AP33,2)</f>
      </c>
      <c r="AY33" s="47" t="s">
        <v>91</v>
      </c>
      <c r="AZ33" s="47" t="s">
        <v>56</v>
      </c>
      <c r="BA33" s="28" t="s">
        <v>57</v>
      </c>
      <c r="BC33" s="45">
        <f>AW33+AX33</f>
      </c>
      <c r="BD33" s="45">
        <f>G33/(100-BE33)*100</f>
      </c>
      <c r="BE33" s="45" t="n">
        <v>0</v>
      </c>
      <c r="BF33" s="45">
        <f>33</f>
      </c>
      <c r="BH33" s="45">
        <f>F33*AO33</f>
      </c>
      <c r="BI33" s="45">
        <f>F33*AP33</f>
      </c>
      <c r="BJ33" s="45">
        <f>F33*G33</f>
      </c>
      <c r="BK33" s="45"/>
      <c r="BL33" s="45" t="n">
        <v>17</v>
      </c>
      <c r="BW33" s="45" t="n">
        <v>21</v>
      </c>
      <c r="BX33" s="14" t="s">
        <v>97</v>
      </c>
    </row>
    <row r="34">
      <c r="A34" s="48"/>
      <c r="C34" s="49" t="s">
        <v>98</v>
      </c>
      <c r="D34" s="49" t="s">
        <v>47</v>
      </c>
      <c r="F34" s="50" t="n">
        <v>0.9</v>
      </c>
      <c r="K34" s="51"/>
    </row>
    <row r="35">
      <c r="A35" s="48"/>
      <c r="C35" s="49" t="s">
        <v>99</v>
      </c>
      <c r="D35" s="49" t="s">
        <v>47</v>
      </c>
      <c r="F35" s="50" t="n">
        <v>1.92</v>
      </c>
      <c r="K35" s="51"/>
    </row>
    <row r="36">
      <c r="A36" s="48"/>
      <c r="C36" s="49" t="s">
        <v>100</v>
      </c>
      <c r="D36" s="49" t="s">
        <v>47</v>
      </c>
      <c r="F36" s="50" t="n">
        <v>5.064</v>
      </c>
      <c r="K36" s="51"/>
    </row>
    <row r="37">
      <c r="A37" s="52" t="s">
        <v>47</v>
      </c>
      <c r="B37" s="53" t="s">
        <v>101</v>
      </c>
      <c r="C37" s="54" t="s">
        <v>102</v>
      </c>
      <c r="D37" s="53"/>
      <c r="E37" s="55" t="s">
        <v>4</v>
      </c>
      <c r="F37" s="55" t="s">
        <v>4</v>
      </c>
      <c r="G37" s="55" t="s">
        <v>4</v>
      </c>
      <c r="H37" s="2">
        <f>SUM(H38:H43)</f>
      </c>
      <c r="I37" s="2">
        <f>SUM(I38:I43)</f>
      </c>
      <c r="J37" s="2">
        <f>SUM(J38:J43)</f>
      </c>
      <c r="K37" s="56" t="s">
        <v>47</v>
      </c>
      <c r="AI37" s="28" t="s">
        <v>47</v>
      </c>
      <c r="AS37" s="2">
        <f>SUM(AJ38:AJ43)</f>
      </c>
      <c r="AT37" s="2">
        <f>SUM(AK38:AK43)</f>
      </c>
      <c r="AU37" s="2">
        <f>SUM(AL38:AL43)</f>
      </c>
    </row>
    <row r="38">
      <c r="A38" s="9" t="s">
        <v>103</v>
      </c>
      <c r="B38" s="10" t="s">
        <v>104</v>
      </c>
      <c r="C38" s="14" t="s">
        <v>105</v>
      </c>
      <c r="D38" s="10"/>
      <c r="E38" s="10" t="s">
        <v>53</v>
      </c>
      <c r="F38" s="45" t="n">
        <v>3.84</v>
      </c>
      <c r="G38" s="45" t="n">
        <v>0</v>
      </c>
      <c r="H38" s="45">
        <f>ROUND(F38*AO38,2)</f>
      </c>
      <c r="I38" s="45">
        <f>ROUND(F38*AP38,2)</f>
      </c>
      <c r="J38" s="45">
        <f>ROUND(F38*G38,2)</f>
      </c>
      <c r="K38" s="46" t="s">
        <v>54</v>
      </c>
      <c r="Z38" s="45">
        <f>ROUND(IF(AQ38="5",BJ38,0),2)</f>
      </c>
      <c r="AB38" s="45">
        <f>ROUND(IF(AQ38="1",BH38,0),2)</f>
      </c>
      <c r="AC38" s="45">
        <f>ROUND(IF(AQ38="1",BI38,0),2)</f>
      </c>
      <c r="AD38" s="45">
        <f>ROUND(IF(AQ38="7",BH38,0),2)</f>
      </c>
      <c r="AE38" s="45">
        <f>ROUND(IF(AQ38="7",BI38,0),2)</f>
      </c>
      <c r="AF38" s="45">
        <f>ROUND(IF(AQ38="2",BH38,0),2)</f>
      </c>
      <c r="AG38" s="45">
        <f>ROUND(IF(AQ38="2",BI38,0),2)</f>
      </c>
      <c r="AH38" s="45">
        <f>ROUND(IF(AQ38="0",BJ38,0),2)</f>
      </c>
      <c r="AI38" s="28" t="s">
        <v>47</v>
      </c>
      <c r="AJ38" s="45">
        <f>IF(AN38=0,J38,0)</f>
      </c>
      <c r="AK38" s="45">
        <f>IF(AN38=12,J38,0)</f>
      </c>
      <c r="AL38" s="45">
        <f>IF(AN38=21,J38,0)</f>
      </c>
      <c r="AN38" s="45" t="n">
        <v>21</v>
      </c>
      <c r="AO38" s="45">
        <f>G38*0.561644879</f>
      </c>
      <c r="AP38" s="45">
        <f>G38*(1-0.561644879)</f>
      </c>
      <c r="AQ38" s="47" t="s">
        <v>50</v>
      </c>
      <c r="AV38" s="45">
        <f>ROUND(AW38+AX38,2)</f>
      </c>
      <c r="AW38" s="45">
        <f>ROUND(F38*AO38,2)</f>
      </c>
      <c r="AX38" s="45">
        <f>ROUND(F38*AP38,2)</f>
      </c>
      <c r="AY38" s="47" t="s">
        <v>106</v>
      </c>
      <c r="AZ38" s="47" t="s">
        <v>107</v>
      </c>
      <c r="BA38" s="28" t="s">
        <v>57</v>
      </c>
      <c r="BC38" s="45">
        <f>AW38+AX38</f>
      </c>
      <c r="BD38" s="45">
        <f>G38/(100-BE38)*100</f>
      </c>
      <c r="BE38" s="45" t="n">
        <v>0</v>
      </c>
      <c r="BF38" s="45">
        <f>38</f>
      </c>
      <c r="BH38" s="45">
        <f>F38*AO38</f>
      </c>
      <c r="BI38" s="45">
        <f>F38*AP38</f>
      </c>
      <c r="BJ38" s="45">
        <f>F38*G38</f>
      </c>
      <c r="BK38" s="45"/>
      <c r="BL38" s="45" t="n">
        <v>21</v>
      </c>
      <c r="BW38" s="45" t="n">
        <v>21</v>
      </c>
      <c r="BX38" s="14" t="s">
        <v>105</v>
      </c>
    </row>
    <row r="39">
      <c r="A39" s="48"/>
      <c r="C39" s="49" t="s">
        <v>108</v>
      </c>
      <c r="D39" s="49" t="s">
        <v>78</v>
      </c>
      <c r="F39" s="50" t="n">
        <v>3.84</v>
      </c>
      <c r="K39" s="51"/>
    </row>
    <row r="40">
      <c r="A40" s="9" t="s">
        <v>109</v>
      </c>
      <c r="B40" s="10" t="s">
        <v>110</v>
      </c>
      <c r="C40" s="14" t="s">
        <v>111</v>
      </c>
      <c r="D40" s="10"/>
      <c r="E40" s="10" t="s">
        <v>112</v>
      </c>
      <c r="F40" s="45" t="n">
        <v>19.68</v>
      </c>
      <c r="G40" s="45" t="n">
        <v>0</v>
      </c>
      <c r="H40" s="45">
        <f>ROUND(F40*AO40,2)</f>
      </c>
      <c r="I40" s="45">
        <f>ROUND(F40*AP40,2)</f>
      </c>
      <c r="J40" s="45">
        <f>ROUND(F40*G40,2)</f>
      </c>
      <c r="K40" s="46" t="s">
        <v>54</v>
      </c>
      <c r="Z40" s="45">
        <f>ROUND(IF(AQ40="5",BJ40,0),2)</f>
      </c>
      <c r="AB40" s="45">
        <f>ROUND(IF(AQ40="1",BH40,0),2)</f>
      </c>
      <c r="AC40" s="45">
        <f>ROUND(IF(AQ40="1",BI40,0),2)</f>
      </c>
      <c r="AD40" s="45">
        <f>ROUND(IF(AQ40="7",BH40,0),2)</f>
      </c>
      <c r="AE40" s="45">
        <f>ROUND(IF(AQ40="7",BI40,0),2)</f>
      </c>
      <c r="AF40" s="45">
        <f>ROUND(IF(AQ40="2",BH40,0),2)</f>
      </c>
      <c r="AG40" s="45">
        <f>ROUND(IF(AQ40="2",BI40,0),2)</f>
      </c>
      <c r="AH40" s="45">
        <f>ROUND(IF(AQ40="0",BJ40,0),2)</f>
      </c>
      <c r="AI40" s="28" t="s">
        <v>47</v>
      </c>
      <c r="AJ40" s="45">
        <f>IF(AN40=0,J40,0)</f>
      </c>
      <c r="AK40" s="45">
        <f>IF(AN40=12,J40,0)</f>
      </c>
      <c r="AL40" s="45">
        <f>IF(AN40=21,J40,0)</f>
      </c>
      <c r="AN40" s="45" t="n">
        <v>21</v>
      </c>
      <c r="AO40" s="45">
        <f>G40*0.019996413</f>
      </c>
      <c r="AP40" s="45">
        <f>G40*(1-0.019996413)</f>
      </c>
      <c r="AQ40" s="47" t="s">
        <v>50</v>
      </c>
      <c r="AV40" s="45">
        <f>ROUND(AW40+AX40,2)</f>
      </c>
      <c r="AW40" s="45">
        <f>ROUND(F40*AO40,2)</f>
      </c>
      <c r="AX40" s="45">
        <f>ROUND(F40*AP40,2)</f>
      </c>
      <c r="AY40" s="47" t="s">
        <v>106</v>
      </c>
      <c r="AZ40" s="47" t="s">
        <v>107</v>
      </c>
      <c r="BA40" s="28" t="s">
        <v>57</v>
      </c>
      <c r="BC40" s="45">
        <f>AW40+AX40</f>
      </c>
      <c r="BD40" s="45">
        <f>G40/(100-BE40)*100</f>
      </c>
      <c r="BE40" s="45" t="n">
        <v>0</v>
      </c>
      <c r="BF40" s="45">
        <f>40</f>
      </c>
      <c r="BH40" s="45">
        <f>F40*AO40</f>
      </c>
      <c r="BI40" s="45">
        <f>F40*AP40</f>
      </c>
      <c r="BJ40" s="45">
        <f>F40*G40</f>
      </c>
      <c r="BK40" s="45"/>
      <c r="BL40" s="45" t="n">
        <v>21</v>
      </c>
      <c r="BW40" s="45" t="n">
        <v>21</v>
      </c>
      <c r="BX40" s="14" t="s">
        <v>111</v>
      </c>
    </row>
    <row r="41">
      <c r="A41" s="48"/>
      <c r="C41" s="49" t="s">
        <v>113</v>
      </c>
      <c r="D41" s="49" t="s">
        <v>47</v>
      </c>
      <c r="F41" s="50" t="n">
        <v>7.68</v>
      </c>
      <c r="K41" s="51"/>
    </row>
    <row r="42">
      <c r="A42" s="48"/>
      <c r="C42" s="49" t="s">
        <v>114</v>
      </c>
      <c r="D42" s="49" t="s">
        <v>47</v>
      </c>
      <c r="F42" s="50" t="n">
        <v>12</v>
      </c>
      <c r="K42" s="51"/>
    </row>
    <row r="43">
      <c r="A43" s="9" t="s">
        <v>115</v>
      </c>
      <c r="B43" s="10" t="s">
        <v>116</v>
      </c>
      <c r="C43" s="14" t="s">
        <v>117</v>
      </c>
      <c r="D43" s="10"/>
      <c r="E43" s="10" t="s">
        <v>112</v>
      </c>
      <c r="F43" s="45" t="n">
        <v>19.68</v>
      </c>
      <c r="G43" s="45" t="n">
        <v>0</v>
      </c>
      <c r="H43" s="45">
        <f>ROUND(F43*AO43,2)</f>
      </c>
      <c r="I43" s="45">
        <f>ROUND(F43*AP43,2)</f>
      </c>
      <c r="J43" s="45">
        <f>ROUND(F43*G43,2)</f>
      </c>
      <c r="K43" s="46" t="s">
        <v>54</v>
      </c>
      <c r="Z43" s="45">
        <f>ROUND(IF(AQ43="5",BJ43,0),2)</f>
      </c>
      <c r="AB43" s="45">
        <f>ROUND(IF(AQ43="1",BH43,0),2)</f>
      </c>
      <c r="AC43" s="45">
        <f>ROUND(IF(AQ43="1",BI43,0),2)</f>
      </c>
      <c r="AD43" s="45">
        <f>ROUND(IF(AQ43="7",BH43,0),2)</f>
      </c>
      <c r="AE43" s="45">
        <f>ROUND(IF(AQ43="7",BI43,0),2)</f>
      </c>
      <c r="AF43" s="45">
        <f>ROUND(IF(AQ43="2",BH43,0),2)</f>
      </c>
      <c r="AG43" s="45">
        <f>ROUND(IF(AQ43="2",BI43,0),2)</f>
      </c>
      <c r="AH43" s="45">
        <f>ROUND(IF(AQ43="0",BJ43,0),2)</f>
      </c>
      <c r="AI43" s="28" t="s">
        <v>47</v>
      </c>
      <c r="AJ43" s="45">
        <f>IF(AN43=0,J43,0)</f>
      </c>
      <c r="AK43" s="45">
        <f>IF(AN43=12,J43,0)</f>
      </c>
      <c r="AL43" s="45">
        <f>IF(AN43=21,J43,0)</f>
      </c>
      <c r="AN43" s="45" t="n">
        <v>21</v>
      </c>
      <c r="AO43" s="45">
        <f>G43*1</f>
      </c>
      <c r="AP43" s="45">
        <f>G43*(1-1)</f>
      </c>
      <c r="AQ43" s="47" t="s">
        <v>50</v>
      </c>
      <c r="AV43" s="45">
        <f>ROUND(AW43+AX43,2)</f>
      </c>
      <c r="AW43" s="45">
        <f>ROUND(F43*AO43,2)</f>
      </c>
      <c r="AX43" s="45">
        <f>ROUND(F43*AP43,2)</f>
      </c>
      <c r="AY43" s="47" t="s">
        <v>106</v>
      </c>
      <c r="AZ43" s="47" t="s">
        <v>107</v>
      </c>
      <c r="BA43" s="28" t="s">
        <v>57</v>
      </c>
      <c r="BC43" s="45">
        <f>AW43+AX43</f>
      </c>
      <c r="BD43" s="45">
        <f>G43/(100-BE43)*100</f>
      </c>
      <c r="BE43" s="45" t="n">
        <v>0</v>
      </c>
      <c r="BF43" s="45">
        <f>43</f>
      </c>
      <c r="BH43" s="45">
        <f>F43*AO43</f>
      </c>
      <c r="BI43" s="45">
        <f>F43*AP43</f>
      </c>
      <c r="BJ43" s="45">
        <f>F43*G43</f>
      </c>
      <c r="BK43" s="45"/>
      <c r="BL43" s="45" t="n">
        <v>21</v>
      </c>
      <c r="BW43" s="45" t="n">
        <v>21</v>
      </c>
      <c r="BX43" s="14" t="s">
        <v>117</v>
      </c>
    </row>
    <row r="44">
      <c r="A44" s="48"/>
      <c r="C44" s="49" t="s">
        <v>118</v>
      </c>
      <c r="D44" s="49" t="s">
        <v>47</v>
      </c>
      <c r="F44" s="50" t="n">
        <v>19.68</v>
      </c>
      <c r="K44" s="51"/>
    </row>
    <row r="45">
      <c r="A45" s="52" t="s">
        <v>47</v>
      </c>
      <c r="B45" s="53" t="s">
        <v>119</v>
      </c>
      <c r="C45" s="54" t="s">
        <v>120</v>
      </c>
      <c r="D45" s="53"/>
      <c r="E45" s="55" t="s">
        <v>4</v>
      </c>
      <c r="F45" s="55" t="s">
        <v>4</v>
      </c>
      <c r="G45" s="55" t="s">
        <v>4</v>
      </c>
      <c r="H45" s="2">
        <f>SUM(H46:H66)</f>
      </c>
      <c r="I45" s="2">
        <f>SUM(I46:I66)</f>
      </c>
      <c r="J45" s="2">
        <f>SUM(J46:J66)</f>
      </c>
      <c r="K45" s="56" t="s">
        <v>47</v>
      </c>
      <c r="AI45" s="28" t="s">
        <v>47</v>
      </c>
      <c r="AS45" s="2">
        <f>SUM(AJ46:AJ66)</f>
      </c>
      <c r="AT45" s="2">
        <f>SUM(AK46:AK66)</f>
      </c>
      <c r="AU45" s="2">
        <f>SUM(AL46:AL66)</f>
      </c>
    </row>
    <row r="46">
      <c r="A46" s="9" t="s">
        <v>48</v>
      </c>
      <c r="B46" s="10" t="s">
        <v>121</v>
      </c>
      <c r="C46" s="14" t="s">
        <v>122</v>
      </c>
      <c r="D46" s="10"/>
      <c r="E46" s="10" t="s">
        <v>112</v>
      </c>
      <c r="F46" s="45" t="n">
        <v>13.7</v>
      </c>
      <c r="G46" s="45" t="n">
        <v>0</v>
      </c>
      <c r="H46" s="45">
        <f>ROUND(F46*AO46,2)</f>
      </c>
      <c r="I46" s="45">
        <f>ROUND(F46*AP46,2)</f>
      </c>
      <c r="J46" s="45">
        <f>ROUND(F46*G46,2)</f>
      </c>
      <c r="K46" s="46" t="s">
        <v>54</v>
      </c>
      <c r="Z46" s="45">
        <f>ROUND(IF(AQ46="5",BJ46,0),2)</f>
      </c>
      <c r="AB46" s="45">
        <f>ROUND(IF(AQ46="1",BH46,0),2)</f>
      </c>
      <c r="AC46" s="45">
        <f>ROUND(IF(AQ46="1",BI46,0),2)</f>
      </c>
      <c r="AD46" s="45">
        <f>ROUND(IF(AQ46="7",BH46,0),2)</f>
      </c>
      <c r="AE46" s="45">
        <f>ROUND(IF(AQ46="7",BI46,0),2)</f>
      </c>
      <c r="AF46" s="45">
        <f>ROUND(IF(AQ46="2",BH46,0),2)</f>
      </c>
      <c r="AG46" s="45">
        <f>ROUND(IF(AQ46="2",BI46,0),2)</f>
      </c>
      <c r="AH46" s="45">
        <f>ROUND(IF(AQ46="0",BJ46,0),2)</f>
      </c>
      <c r="AI46" s="28" t="s">
        <v>47</v>
      </c>
      <c r="AJ46" s="45">
        <f>IF(AN46=0,J46,0)</f>
      </c>
      <c r="AK46" s="45">
        <f>IF(AN46=12,J46,0)</f>
      </c>
      <c r="AL46" s="45">
        <f>IF(AN46=21,J46,0)</f>
      </c>
      <c r="AN46" s="45" t="n">
        <v>21</v>
      </c>
      <c r="AO46" s="45">
        <f>G46*0.68215734</f>
      </c>
      <c r="AP46" s="45">
        <f>G46*(1-0.68215734)</f>
      </c>
      <c r="AQ46" s="47" t="s">
        <v>50</v>
      </c>
      <c r="AV46" s="45">
        <f>ROUND(AW46+AX46,2)</f>
      </c>
      <c r="AW46" s="45">
        <f>ROUND(F46*AO46,2)</f>
      </c>
      <c r="AX46" s="45">
        <f>ROUND(F46*AP46,2)</f>
      </c>
      <c r="AY46" s="47" t="s">
        <v>123</v>
      </c>
      <c r="AZ46" s="47" t="s">
        <v>107</v>
      </c>
      <c r="BA46" s="28" t="s">
        <v>57</v>
      </c>
      <c r="BC46" s="45">
        <f>AW46+AX46</f>
      </c>
      <c r="BD46" s="45">
        <f>G46/(100-BE46)*100</f>
      </c>
      <c r="BE46" s="45" t="n">
        <v>0</v>
      </c>
      <c r="BF46" s="45">
        <f>46</f>
      </c>
      <c r="BH46" s="45">
        <f>F46*AO46</f>
      </c>
      <c r="BI46" s="45">
        <f>F46*AP46</f>
      </c>
      <c r="BJ46" s="45">
        <f>F46*G46</f>
      </c>
      <c r="BK46" s="45"/>
      <c r="BL46" s="45" t="n">
        <v>27</v>
      </c>
      <c r="BW46" s="45" t="n">
        <v>21</v>
      </c>
      <c r="BX46" s="14" t="s">
        <v>122</v>
      </c>
    </row>
    <row r="47" customHeight="true" ht="13.5">
      <c r="A47" s="48"/>
      <c r="B47" s="57" t="s">
        <v>92</v>
      </c>
      <c r="C47" s="58" t="s">
        <v>124</v>
      </c>
      <c r="D47" s="49"/>
      <c r="E47" s="49"/>
      <c r="F47" s="49"/>
      <c r="G47" s="49"/>
      <c r="H47" s="49"/>
      <c r="I47" s="49"/>
      <c r="J47" s="49"/>
      <c r="K47" s="59"/>
    </row>
    <row r="48">
      <c r="A48" s="48"/>
      <c r="C48" s="49" t="s">
        <v>125</v>
      </c>
      <c r="D48" s="49" t="s">
        <v>47</v>
      </c>
      <c r="F48" s="50" t="n">
        <v>13.7</v>
      </c>
      <c r="K48" s="51"/>
    </row>
    <row r="49">
      <c r="A49" s="9" t="s">
        <v>59</v>
      </c>
      <c r="B49" s="10" t="s">
        <v>126</v>
      </c>
      <c r="C49" s="14" t="s">
        <v>127</v>
      </c>
      <c r="D49" s="10"/>
      <c r="E49" s="10" t="s">
        <v>112</v>
      </c>
      <c r="F49" s="45" t="n">
        <v>1.75</v>
      </c>
      <c r="G49" s="45" t="n">
        <v>0</v>
      </c>
      <c r="H49" s="45">
        <f>ROUND(F49*AO49,2)</f>
      </c>
      <c r="I49" s="45">
        <f>ROUND(F49*AP49,2)</f>
      </c>
      <c r="J49" s="45">
        <f>ROUND(F49*G49,2)</f>
      </c>
      <c r="K49" s="46" t="s">
        <v>54</v>
      </c>
      <c r="Z49" s="45">
        <f>ROUND(IF(AQ49="5",BJ49,0),2)</f>
      </c>
      <c r="AB49" s="45">
        <f>ROUND(IF(AQ49="1",BH49,0),2)</f>
      </c>
      <c r="AC49" s="45">
        <f>ROUND(IF(AQ49="1",BI49,0),2)</f>
      </c>
      <c r="AD49" s="45">
        <f>ROUND(IF(AQ49="7",BH49,0),2)</f>
      </c>
      <c r="AE49" s="45">
        <f>ROUND(IF(AQ49="7",BI49,0),2)</f>
      </c>
      <c r="AF49" s="45">
        <f>ROUND(IF(AQ49="2",BH49,0),2)</f>
      </c>
      <c r="AG49" s="45">
        <f>ROUND(IF(AQ49="2",BI49,0),2)</f>
      </c>
      <c r="AH49" s="45">
        <f>ROUND(IF(AQ49="0",BJ49,0),2)</f>
      </c>
      <c r="AI49" s="28" t="s">
        <v>47</v>
      </c>
      <c r="AJ49" s="45">
        <f>IF(AN49=0,J49,0)</f>
      </c>
      <c r="AK49" s="45">
        <f>IF(AN49=12,J49,0)</f>
      </c>
      <c r="AL49" s="45">
        <f>IF(AN49=21,J49,0)</f>
      </c>
      <c r="AN49" s="45" t="n">
        <v>21</v>
      </c>
      <c r="AO49" s="45">
        <f>G49*0.660958089</f>
      </c>
      <c r="AP49" s="45">
        <f>G49*(1-0.660958089)</f>
      </c>
      <c r="AQ49" s="47" t="s">
        <v>50</v>
      </c>
      <c r="AV49" s="45">
        <f>ROUND(AW49+AX49,2)</f>
      </c>
      <c r="AW49" s="45">
        <f>ROUND(F49*AO49,2)</f>
      </c>
      <c r="AX49" s="45">
        <f>ROUND(F49*AP49,2)</f>
      </c>
      <c r="AY49" s="47" t="s">
        <v>123</v>
      </c>
      <c r="AZ49" s="47" t="s">
        <v>107</v>
      </c>
      <c r="BA49" s="28" t="s">
        <v>57</v>
      </c>
      <c r="BC49" s="45">
        <f>AW49+AX49</f>
      </c>
      <c r="BD49" s="45">
        <f>G49/(100-BE49)*100</f>
      </c>
      <c r="BE49" s="45" t="n">
        <v>0</v>
      </c>
      <c r="BF49" s="45">
        <f>49</f>
      </c>
      <c r="BH49" s="45">
        <f>F49*AO49</f>
      </c>
      <c r="BI49" s="45">
        <f>F49*AP49</f>
      </c>
      <c r="BJ49" s="45">
        <f>F49*G49</f>
      </c>
      <c r="BK49" s="45"/>
      <c r="BL49" s="45" t="n">
        <v>27</v>
      </c>
      <c r="BW49" s="45" t="n">
        <v>21</v>
      </c>
      <c r="BX49" s="14" t="s">
        <v>127</v>
      </c>
    </row>
    <row r="50" customHeight="true" ht="13.5">
      <c r="A50" s="48"/>
      <c r="B50" s="57" t="s">
        <v>92</v>
      </c>
      <c r="C50" s="58" t="s">
        <v>124</v>
      </c>
      <c r="D50" s="49"/>
      <c r="E50" s="49"/>
      <c r="F50" s="49"/>
      <c r="G50" s="49"/>
      <c r="H50" s="49"/>
      <c r="I50" s="49"/>
      <c r="J50" s="49"/>
      <c r="K50" s="59"/>
    </row>
    <row r="51">
      <c r="A51" s="48"/>
      <c r="C51" s="49" t="s">
        <v>128</v>
      </c>
      <c r="D51" s="49" t="s">
        <v>47</v>
      </c>
      <c r="F51" s="50" t="n">
        <v>1.75</v>
      </c>
      <c r="K51" s="51"/>
    </row>
    <row r="52">
      <c r="A52" s="9" t="s">
        <v>129</v>
      </c>
      <c r="B52" s="10" t="s">
        <v>130</v>
      </c>
      <c r="C52" s="14" t="s">
        <v>131</v>
      </c>
      <c r="D52" s="10"/>
      <c r="E52" s="10" t="s">
        <v>53</v>
      </c>
      <c r="F52" s="45" t="n">
        <v>9.365</v>
      </c>
      <c r="G52" s="45" t="n">
        <v>0</v>
      </c>
      <c r="H52" s="45">
        <f>ROUND(F52*AO52,2)</f>
      </c>
      <c r="I52" s="45">
        <f>ROUND(F52*AP52,2)</f>
      </c>
      <c r="J52" s="45">
        <f>ROUND(F52*G52,2)</f>
      </c>
      <c r="K52" s="46" t="s">
        <v>54</v>
      </c>
      <c r="Z52" s="45">
        <f>ROUND(IF(AQ52="5",BJ52,0),2)</f>
      </c>
      <c r="AB52" s="45">
        <f>ROUND(IF(AQ52="1",BH52,0),2)</f>
      </c>
      <c r="AC52" s="45">
        <f>ROUND(IF(AQ52="1",BI52,0),2)</f>
      </c>
      <c r="AD52" s="45">
        <f>ROUND(IF(AQ52="7",BH52,0),2)</f>
      </c>
      <c r="AE52" s="45">
        <f>ROUND(IF(AQ52="7",BI52,0),2)</f>
      </c>
      <c r="AF52" s="45">
        <f>ROUND(IF(AQ52="2",BH52,0),2)</f>
      </c>
      <c r="AG52" s="45">
        <f>ROUND(IF(AQ52="2",BI52,0),2)</f>
      </c>
      <c r="AH52" s="45">
        <f>ROUND(IF(AQ52="0",BJ52,0),2)</f>
      </c>
      <c r="AI52" s="28" t="s">
        <v>47</v>
      </c>
      <c r="AJ52" s="45">
        <f>IF(AN52=0,J52,0)</f>
      </c>
      <c r="AK52" s="45">
        <f>IF(AN52=12,J52,0)</f>
      </c>
      <c r="AL52" s="45">
        <f>IF(AN52=21,J52,0)</f>
      </c>
      <c r="AN52" s="45" t="n">
        <v>21</v>
      </c>
      <c r="AO52" s="45">
        <f>G52*0.899963703</f>
      </c>
      <c r="AP52" s="45">
        <f>G52*(1-0.899963703)</f>
      </c>
      <c r="AQ52" s="47" t="s">
        <v>50</v>
      </c>
      <c r="AV52" s="45">
        <f>ROUND(AW52+AX52,2)</f>
      </c>
      <c r="AW52" s="45">
        <f>ROUND(F52*AO52,2)</f>
      </c>
      <c r="AX52" s="45">
        <f>ROUND(F52*AP52,2)</f>
      </c>
      <c r="AY52" s="47" t="s">
        <v>123</v>
      </c>
      <c r="AZ52" s="47" t="s">
        <v>107</v>
      </c>
      <c r="BA52" s="28" t="s">
        <v>57</v>
      </c>
      <c r="BC52" s="45">
        <f>AW52+AX52</f>
      </c>
      <c r="BD52" s="45">
        <f>G52/(100-BE52)*100</f>
      </c>
      <c r="BE52" s="45" t="n">
        <v>0</v>
      </c>
      <c r="BF52" s="45">
        <f>52</f>
      </c>
      <c r="BH52" s="45">
        <f>F52*AO52</f>
      </c>
      <c r="BI52" s="45">
        <f>F52*AP52</f>
      </c>
      <c r="BJ52" s="45">
        <f>F52*G52</f>
      </c>
      <c r="BK52" s="45"/>
      <c r="BL52" s="45" t="n">
        <v>27</v>
      </c>
      <c r="BW52" s="45" t="n">
        <v>21</v>
      </c>
      <c r="BX52" s="14" t="s">
        <v>131</v>
      </c>
    </row>
    <row r="53">
      <c r="A53" s="48"/>
      <c r="C53" s="49" t="s">
        <v>132</v>
      </c>
      <c r="D53" s="49" t="s">
        <v>47</v>
      </c>
      <c r="F53" s="50" t="n">
        <v>8.49</v>
      </c>
      <c r="K53" s="51"/>
    </row>
    <row r="54">
      <c r="A54" s="48"/>
      <c r="C54" s="49" t="s">
        <v>133</v>
      </c>
      <c r="D54" s="49" t="s">
        <v>47</v>
      </c>
      <c r="F54" s="50" t="n">
        <v>0.875</v>
      </c>
      <c r="K54" s="51"/>
    </row>
    <row r="55">
      <c r="A55" s="9" t="s">
        <v>134</v>
      </c>
      <c r="B55" s="10" t="s">
        <v>135</v>
      </c>
      <c r="C55" s="14" t="s">
        <v>136</v>
      </c>
      <c r="D55" s="10"/>
      <c r="E55" s="10" t="s">
        <v>112</v>
      </c>
      <c r="F55" s="45" t="n">
        <v>15.45</v>
      </c>
      <c r="G55" s="45" t="n">
        <v>0</v>
      </c>
      <c r="H55" s="45">
        <f>ROUND(F55*AO55,2)</f>
      </c>
      <c r="I55" s="45">
        <f>ROUND(F55*AP55,2)</f>
      </c>
      <c r="J55" s="45">
        <f>ROUND(F55*G55,2)</f>
      </c>
      <c r="K55" s="46" t="s">
        <v>54</v>
      </c>
      <c r="Z55" s="45">
        <f>ROUND(IF(AQ55="5",BJ55,0),2)</f>
      </c>
      <c r="AB55" s="45">
        <f>ROUND(IF(AQ55="1",BH55,0),2)</f>
      </c>
      <c r="AC55" s="45">
        <f>ROUND(IF(AQ55="1",BI55,0),2)</f>
      </c>
      <c r="AD55" s="45">
        <f>ROUND(IF(AQ55="7",BH55,0),2)</f>
      </c>
      <c r="AE55" s="45">
        <f>ROUND(IF(AQ55="7",BI55,0),2)</f>
      </c>
      <c r="AF55" s="45">
        <f>ROUND(IF(AQ55="2",BH55,0),2)</f>
      </c>
      <c r="AG55" s="45">
        <f>ROUND(IF(AQ55="2",BI55,0),2)</f>
      </c>
      <c r="AH55" s="45">
        <f>ROUND(IF(AQ55="0",BJ55,0),2)</f>
      </c>
      <c r="AI55" s="28" t="s">
        <v>47</v>
      </c>
      <c r="AJ55" s="45">
        <f>IF(AN55=0,J55,0)</f>
      </c>
      <c r="AK55" s="45">
        <f>IF(AN55=12,J55,0)</f>
      </c>
      <c r="AL55" s="45">
        <f>IF(AN55=21,J55,0)</f>
      </c>
      <c r="AN55" s="45" t="n">
        <v>21</v>
      </c>
      <c r="AO55" s="45">
        <f>G55*0.727508091</f>
      </c>
      <c r="AP55" s="45">
        <f>G55*(1-0.727508091)</f>
      </c>
      <c r="AQ55" s="47" t="s">
        <v>50</v>
      </c>
      <c r="AV55" s="45">
        <f>ROUND(AW55+AX55,2)</f>
      </c>
      <c r="AW55" s="45">
        <f>ROUND(F55*AO55,2)</f>
      </c>
      <c r="AX55" s="45">
        <f>ROUND(F55*AP55,2)</f>
      </c>
      <c r="AY55" s="47" t="s">
        <v>123</v>
      </c>
      <c r="AZ55" s="47" t="s">
        <v>107</v>
      </c>
      <c r="BA55" s="28" t="s">
        <v>57</v>
      </c>
      <c r="BC55" s="45">
        <f>AW55+AX55</f>
      </c>
      <c r="BD55" s="45">
        <f>G55/(100-BE55)*100</f>
      </c>
      <c r="BE55" s="45" t="n">
        <v>0</v>
      </c>
      <c r="BF55" s="45">
        <f>55</f>
      </c>
      <c r="BH55" s="45">
        <f>F55*AO55</f>
      </c>
      <c r="BI55" s="45">
        <f>F55*AP55</f>
      </c>
      <c r="BJ55" s="45">
        <f>F55*G55</f>
      </c>
      <c r="BK55" s="45"/>
      <c r="BL55" s="45" t="n">
        <v>27</v>
      </c>
      <c r="BW55" s="45" t="n">
        <v>21</v>
      </c>
      <c r="BX55" s="14" t="s">
        <v>136</v>
      </c>
    </row>
    <row r="56">
      <c r="A56" s="48"/>
      <c r="C56" s="49" t="s">
        <v>125</v>
      </c>
      <c r="D56" s="49" t="s">
        <v>47</v>
      </c>
      <c r="F56" s="50" t="n">
        <v>13.7</v>
      </c>
      <c r="K56" s="51"/>
    </row>
    <row r="57">
      <c r="A57" s="48"/>
      <c r="C57" s="49" t="s">
        <v>128</v>
      </c>
      <c r="D57" s="49" t="s">
        <v>47</v>
      </c>
      <c r="F57" s="50" t="n">
        <v>1.75</v>
      </c>
      <c r="K57" s="51"/>
    </row>
    <row r="58">
      <c r="A58" s="9" t="s">
        <v>79</v>
      </c>
      <c r="B58" s="10" t="s">
        <v>137</v>
      </c>
      <c r="C58" s="14" t="s">
        <v>138</v>
      </c>
      <c r="D58" s="10"/>
      <c r="E58" s="10" t="s">
        <v>53</v>
      </c>
      <c r="F58" s="45" t="n">
        <v>5.814</v>
      </c>
      <c r="G58" s="45" t="n">
        <v>0</v>
      </c>
      <c r="H58" s="45">
        <f>ROUND(F58*AO58,2)</f>
      </c>
      <c r="I58" s="45">
        <f>ROUND(F58*AP58,2)</f>
      </c>
      <c r="J58" s="45">
        <f>ROUND(F58*G58,2)</f>
      </c>
      <c r="K58" s="46" t="s">
        <v>54</v>
      </c>
      <c r="Z58" s="45">
        <f>ROUND(IF(AQ58="5",BJ58,0),2)</f>
      </c>
      <c r="AB58" s="45">
        <f>ROUND(IF(AQ58="1",BH58,0),2)</f>
      </c>
      <c r="AC58" s="45">
        <f>ROUND(IF(AQ58="1",BI58,0),2)</f>
      </c>
      <c r="AD58" s="45">
        <f>ROUND(IF(AQ58="7",BH58,0),2)</f>
      </c>
      <c r="AE58" s="45">
        <f>ROUND(IF(AQ58="7",BI58,0),2)</f>
      </c>
      <c r="AF58" s="45">
        <f>ROUND(IF(AQ58="2",BH58,0),2)</f>
      </c>
      <c r="AG58" s="45">
        <f>ROUND(IF(AQ58="2",BI58,0),2)</f>
      </c>
      <c r="AH58" s="45">
        <f>ROUND(IF(AQ58="0",BJ58,0),2)</f>
      </c>
      <c r="AI58" s="28" t="s">
        <v>47</v>
      </c>
      <c r="AJ58" s="45">
        <f>IF(AN58=0,J58,0)</f>
      </c>
      <c r="AK58" s="45">
        <f>IF(AN58=12,J58,0)</f>
      </c>
      <c r="AL58" s="45">
        <f>IF(AN58=21,J58,0)</f>
      </c>
      <c r="AN58" s="45" t="n">
        <v>21</v>
      </c>
      <c r="AO58" s="45">
        <f>G58*0.615216618</f>
      </c>
      <c r="AP58" s="45">
        <f>G58*(1-0.615216618)</f>
      </c>
      <c r="AQ58" s="47" t="s">
        <v>50</v>
      </c>
      <c r="AV58" s="45">
        <f>ROUND(AW58+AX58,2)</f>
      </c>
      <c r="AW58" s="45">
        <f>ROUND(F58*AO58,2)</f>
      </c>
      <c r="AX58" s="45">
        <f>ROUND(F58*AP58,2)</f>
      </c>
      <c r="AY58" s="47" t="s">
        <v>123</v>
      </c>
      <c r="AZ58" s="47" t="s">
        <v>107</v>
      </c>
      <c r="BA58" s="28" t="s">
        <v>57</v>
      </c>
      <c r="BC58" s="45">
        <f>AW58+AX58</f>
      </c>
      <c r="BD58" s="45">
        <f>G58/(100-BE58)*100</f>
      </c>
      <c r="BE58" s="45" t="n">
        <v>0</v>
      </c>
      <c r="BF58" s="45">
        <f>58</f>
      </c>
      <c r="BH58" s="45">
        <f>F58*AO58</f>
      </c>
      <c r="BI58" s="45">
        <f>F58*AP58</f>
      </c>
      <c r="BJ58" s="45">
        <f>F58*G58</f>
      </c>
      <c r="BK58" s="45"/>
      <c r="BL58" s="45" t="n">
        <v>27</v>
      </c>
      <c r="BW58" s="45" t="n">
        <v>21</v>
      </c>
      <c r="BX58" s="14" t="s">
        <v>138</v>
      </c>
    </row>
    <row r="59">
      <c r="A59" s="48"/>
      <c r="C59" s="49" t="s">
        <v>139</v>
      </c>
      <c r="D59" s="49" t="s">
        <v>47</v>
      </c>
      <c r="F59" s="50" t="n">
        <v>5.814</v>
      </c>
      <c r="K59" s="51"/>
    </row>
    <row r="60">
      <c r="A60" s="9" t="s">
        <v>86</v>
      </c>
      <c r="B60" s="10" t="s">
        <v>140</v>
      </c>
      <c r="C60" s="14" t="s">
        <v>141</v>
      </c>
      <c r="D60" s="10"/>
      <c r="E60" s="10" t="s">
        <v>53</v>
      </c>
      <c r="F60" s="45" t="n">
        <v>6.993</v>
      </c>
      <c r="G60" s="45" t="n">
        <v>0</v>
      </c>
      <c r="H60" s="45">
        <f>ROUND(F60*AO60,2)</f>
      </c>
      <c r="I60" s="45">
        <f>ROUND(F60*AP60,2)</f>
      </c>
      <c r="J60" s="45">
        <f>ROUND(F60*G60,2)</f>
      </c>
      <c r="K60" s="46" t="s">
        <v>54</v>
      </c>
      <c r="Z60" s="45">
        <f>ROUND(IF(AQ60="5",BJ60,0),2)</f>
      </c>
      <c r="AB60" s="45">
        <f>ROUND(IF(AQ60="1",BH60,0),2)</f>
      </c>
      <c r="AC60" s="45">
        <f>ROUND(IF(AQ60="1",BI60,0),2)</f>
      </c>
      <c r="AD60" s="45">
        <f>ROUND(IF(AQ60="7",BH60,0),2)</f>
      </c>
      <c r="AE60" s="45">
        <f>ROUND(IF(AQ60="7",BI60,0),2)</f>
      </c>
      <c r="AF60" s="45">
        <f>ROUND(IF(AQ60="2",BH60,0),2)</f>
      </c>
      <c r="AG60" s="45">
        <f>ROUND(IF(AQ60="2",BI60,0),2)</f>
      </c>
      <c r="AH60" s="45">
        <f>ROUND(IF(AQ60="0",BJ60,0),2)</f>
      </c>
      <c r="AI60" s="28" t="s">
        <v>47</v>
      </c>
      <c r="AJ60" s="45">
        <f>IF(AN60=0,J60,0)</f>
      </c>
      <c r="AK60" s="45">
        <f>IF(AN60=12,J60,0)</f>
      </c>
      <c r="AL60" s="45">
        <f>IF(AN60=21,J60,0)</f>
      </c>
      <c r="AN60" s="45" t="n">
        <v>21</v>
      </c>
      <c r="AO60" s="45">
        <f>G60*0.908473763</f>
      </c>
      <c r="AP60" s="45">
        <f>G60*(1-0.908473763)</f>
      </c>
      <c r="AQ60" s="47" t="s">
        <v>50</v>
      </c>
      <c r="AV60" s="45">
        <f>ROUND(AW60+AX60,2)</f>
      </c>
      <c r="AW60" s="45">
        <f>ROUND(F60*AO60,2)</f>
      </c>
      <c r="AX60" s="45">
        <f>ROUND(F60*AP60,2)</f>
      </c>
      <c r="AY60" s="47" t="s">
        <v>123</v>
      </c>
      <c r="AZ60" s="47" t="s">
        <v>107</v>
      </c>
      <c r="BA60" s="28" t="s">
        <v>57</v>
      </c>
      <c r="BC60" s="45">
        <f>AW60+AX60</f>
      </c>
      <c r="BD60" s="45">
        <f>G60/(100-BE60)*100</f>
      </c>
      <c r="BE60" s="45" t="n">
        <v>0</v>
      </c>
      <c r="BF60" s="45">
        <f>60</f>
      </c>
      <c r="BH60" s="45">
        <f>F60*AO60</f>
      </c>
      <c r="BI60" s="45">
        <f>F60*AP60</f>
      </c>
      <c r="BJ60" s="45">
        <f>F60*G60</f>
      </c>
      <c r="BK60" s="45"/>
      <c r="BL60" s="45" t="n">
        <v>27</v>
      </c>
      <c r="BW60" s="45" t="n">
        <v>21</v>
      </c>
      <c r="BX60" s="14" t="s">
        <v>141</v>
      </c>
    </row>
    <row r="61">
      <c r="A61" s="48"/>
      <c r="C61" s="49" t="s">
        <v>142</v>
      </c>
      <c r="D61" s="49" t="s">
        <v>47</v>
      </c>
      <c r="F61" s="50" t="n">
        <v>6.993</v>
      </c>
      <c r="K61" s="51"/>
    </row>
    <row r="62">
      <c r="A62" s="9" t="s">
        <v>143</v>
      </c>
      <c r="B62" s="10" t="s">
        <v>144</v>
      </c>
      <c r="C62" s="14" t="s">
        <v>145</v>
      </c>
      <c r="D62" s="10"/>
      <c r="E62" s="10" t="s">
        <v>112</v>
      </c>
      <c r="F62" s="45" t="n">
        <v>5.48</v>
      </c>
      <c r="G62" s="45" t="n">
        <v>0</v>
      </c>
      <c r="H62" s="45">
        <f>ROUND(F62*AO62,2)</f>
      </c>
      <c r="I62" s="45">
        <f>ROUND(F62*AP62,2)</f>
      </c>
      <c r="J62" s="45">
        <f>ROUND(F62*G62,2)</f>
      </c>
      <c r="K62" s="46" t="s">
        <v>54</v>
      </c>
      <c r="Z62" s="45">
        <f>ROUND(IF(AQ62="5",BJ62,0),2)</f>
      </c>
      <c r="AB62" s="45">
        <f>ROUND(IF(AQ62="1",BH62,0),2)</f>
      </c>
      <c r="AC62" s="45">
        <f>ROUND(IF(AQ62="1",BI62,0),2)</f>
      </c>
      <c r="AD62" s="45">
        <f>ROUND(IF(AQ62="7",BH62,0),2)</f>
      </c>
      <c r="AE62" s="45">
        <f>ROUND(IF(AQ62="7",BI62,0),2)</f>
      </c>
      <c r="AF62" s="45">
        <f>ROUND(IF(AQ62="2",BH62,0),2)</f>
      </c>
      <c r="AG62" s="45">
        <f>ROUND(IF(AQ62="2",BI62,0),2)</f>
      </c>
      <c r="AH62" s="45">
        <f>ROUND(IF(AQ62="0",BJ62,0),2)</f>
      </c>
      <c r="AI62" s="28" t="s">
        <v>47</v>
      </c>
      <c r="AJ62" s="45">
        <f>IF(AN62=0,J62,0)</f>
      </c>
      <c r="AK62" s="45">
        <f>IF(AN62=12,J62,0)</f>
      </c>
      <c r="AL62" s="45">
        <f>IF(AN62=21,J62,0)</f>
      </c>
      <c r="AN62" s="45" t="n">
        <v>21</v>
      </c>
      <c r="AO62" s="45">
        <f>G62*0.233783608</f>
      </c>
      <c r="AP62" s="45">
        <f>G62*(1-0.233783608)</f>
      </c>
      <c r="AQ62" s="47" t="s">
        <v>50</v>
      </c>
      <c r="AV62" s="45">
        <f>ROUND(AW62+AX62,2)</f>
      </c>
      <c r="AW62" s="45">
        <f>ROUND(F62*AO62,2)</f>
      </c>
      <c r="AX62" s="45">
        <f>ROUND(F62*AP62,2)</f>
      </c>
      <c r="AY62" s="47" t="s">
        <v>123</v>
      </c>
      <c r="AZ62" s="47" t="s">
        <v>107</v>
      </c>
      <c r="BA62" s="28" t="s">
        <v>57</v>
      </c>
      <c r="BC62" s="45">
        <f>AW62+AX62</f>
      </c>
      <c r="BD62" s="45">
        <f>G62/(100-BE62)*100</f>
      </c>
      <c r="BE62" s="45" t="n">
        <v>0</v>
      </c>
      <c r="BF62" s="45">
        <f>62</f>
      </c>
      <c r="BH62" s="45">
        <f>F62*AO62</f>
      </c>
      <c r="BI62" s="45">
        <f>F62*AP62</f>
      </c>
      <c r="BJ62" s="45">
        <f>F62*G62</f>
      </c>
      <c r="BK62" s="45"/>
      <c r="BL62" s="45" t="n">
        <v>27</v>
      </c>
      <c r="BW62" s="45" t="n">
        <v>21</v>
      </c>
      <c r="BX62" s="14" t="s">
        <v>145</v>
      </c>
    </row>
    <row r="63">
      <c r="A63" s="48"/>
      <c r="C63" s="49" t="s">
        <v>146</v>
      </c>
      <c r="D63" s="49" t="s">
        <v>47</v>
      </c>
      <c r="F63" s="50" t="n">
        <v>5.48</v>
      </c>
      <c r="K63" s="51"/>
    </row>
    <row r="64">
      <c r="A64" s="9" t="s">
        <v>147</v>
      </c>
      <c r="B64" s="10" t="s">
        <v>148</v>
      </c>
      <c r="C64" s="14" t="s">
        <v>149</v>
      </c>
      <c r="D64" s="10"/>
      <c r="E64" s="10" t="s">
        <v>112</v>
      </c>
      <c r="F64" s="45" t="n">
        <v>5.48</v>
      </c>
      <c r="G64" s="45" t="n">
        <v>0</v>
      </c>
      <c r="H64" s="45">
        <f>ROUND(F64*AO64,2)</f>
      </c>
      <c r="I64" s="45">
        <f>ROUND(F64*AP64,2)</f>
      </c>
      <c r="J64" s="45">
        <f>ROUND(F64*G64,2)</f>
      </c>
      <c r="K64" s="46" t="s">
        <v>54</v>
      </c>
      <c r="Z64" s="45">
        <f>ROUND(IF(AQ64="5",BJ64,0),2)</f>
      </c>
      <c r="AB64" s="45">
        <f>ROUND(IF(AQ64="1",BH64,0),2)</f>
      </c>
      <c r="AC64" s="45">
        <f>ROUND(IF(AQ64="1",BI64,0),2)</f>
      </c>
      <c r="AD64" s="45">
        <f>ROUND(IF(AQ64="7",BH64,0),2)</f>
      </c>
      <c r="AE64" s="45">
        <f>ROUND(IF(AQ64="7",BI64,0),2)</f>
      </c>
      <c r="AF64" s="45">
        <f>ROUND(IF(AQ64="2",BH64,0),2)</f>
      </c>
      <c r="AG64" s="45">
        <f>ROUND(IF(AQ64="2",BI64,0),2)</f>
      </c>
      <c r="AH64" s="45">
        <f>ROUND(IF(AQ64="0",BJ64,0),2)</f>
      </c>
      <c r="AI64" s="28" t="s">
        <v>47</v>
      </c>
      <c r="AJ64" s="45">
        <f>IF(AN64=0,J64,0)</f>
      </c>
      <c r="AK64" s="45">
        <f>IF(AN64=12,J64,0)</f>
      </c>
      <c r="AL64" s="45">
        <f>IF(AN64=21,J64,0)</f>
      </c>
      <c r="AN64" s="45" t="n">
        <v>21</v>
      </c>
      <c r="AO64" s="45">
        <f>G64*0</f>
      </c>
      <c r="AP64" s="45">
        <f>G64*(1-0)</f>
      </c>
      <c r="AQ64" s="47" t="s">
        <v>50</v>
      </c>
      <c r="AV64" s="45">
        <f>ROUND(AW64+AX64,2)</f>
      </c>
      <c r="AW64" s="45">
        <f>ROUND(F64*AO64,2)</f>
      </c>
      <c r="AX64" s="45">
        <f>ROUND(F64*AP64,2)</f>
      </c>
      <c r="AY64" s="47" t="s">
        <v>123</v>
      </c>
      <c r="AZ64" s="47" t="s">
        <v>107</v>
      </c>
      <c r="BA64" s="28" t="s">
        <v>57</v>
      </c>
      <c r="BC64" s="45">
        <f>AW64+AX64</f>
      </c>
      <c r="BD64" s="45">
        <f>G64/(100-BE64)*100</f>
      </c>
      <c r="BE64" s="45" t="n">
        <v>0</v>
      </c>
      <c r="BF64" s="45">
        <f>64</f>
      </c>
      <c r="BH64" s="45">
        <f>F64*AO64</f>
      </c>
      <c r="BI64" s="45">
        <f>F64*AP64</f>
      </c>
      <c r="BJ64" s="45">
        <f>F64*G64</f>
      </c>
      <c r="BK64" s="45"/>
      <c r="BL64" s="45" t="n">
        <v>27</v>
      </c>
      <c r="BW64" s="45" t="n">
        <v>21</v>
      </c>
      <c r="BX64" s="14" t="s">
        <v>149</v>
      </c>
    </row>
    <row r="65">
      <c r="A65" s="48"/>
      <c r="C65" s="49" t="s">
        <v>146</v>
      </c>
      <c r="D65" s="49" t="s">
        <v>47</v>
      </c>
      <c r="F65" s="50" t="n">
        <v>5.48</v>
      </c>
      <c r="K65" s="51"/>
    </row>
    <row r="66">
      <c r="A66" s="9" t="s">
        <v>150</v>
      </c>
      <c r="B66" s="10" t="s">
        <v>151</v>
      </c>
      <c r="C66" s="14" t="s">
        <v>152</v>
      </c>
      <c r="D66" s="10"/>
      <c r="E66" s="10" t="s">
        <v>153</v>
      </c>
      <c r="F66" s="45" t="n">
        <v>0.41026</v>
      </c>
      <c r="G66" s="45" t="n">
        <v>0</v>
      </c>
      <c r="H66" s="45">
        <f>ROUND(F66*AO66,2)</f>
      </c>
      <c r="I66" s="45">
        <f>ROUND(F66*AP66,2)</f>
      </c>
      <c r="J66" s="45">
        <f>ROUND(F66*G66,2)</f>
      </c>
      <c r="K66" s="46" t="s">
        <v>54</v>
      </c>
      <c r="Z66" s="45">
        <f>ROUND(IF(AQ66="5",BJ66,0),2)</f>
      </c>
      <c r="AB66" s="45">
        <f>ROUND(IF(AQ66="1",BH66,0),2)</f>
      </c>
      <c r="AC66" s="45">
        <f>ROUND(IF(AQ66="1",BI66,0),2)</f>
      </c>
      <c r="AD66" s="45">
        <f>ROUND(IF(AQ66="7",BH66,0),2)</f>
      </c>
      <c r="AE66" s="45">
        <f>ROUND(IF(AQ66="7",BI66,0),2)</f>
      </c>
      <c r="AF66" s="45">
        <f>ROUND(IF(AQ66="2",BH66,0),2)</f>
      </c>
      <c r="AG66" s="45">
        <f>ROUND(IF(AQ66="2",BI66,0),2)</f>
      </c>
      <c r="AH66" s="45">
        <f>ROUND(IF(AQ66="0",BJ66,0),2)</f>
      </c>
      <c r="AI66" s="28" t="s">
        <v>47</v>
      </c>
      <c r="AJ66" s="45">
        <f>IF(AN66=0,J66,0)</f>
      </c>
      <c r="AK66" s="45">
        <f>IF(AN66=12,J66,0)</f>
      </c>
      <c r="AL66" s="45">
        <f>IF(AN66=21,J66,0)</f>
      </c>
      <c r="AN66" s="45" t="n">
        <v>21</v>
      </c>
      <c r="AO66" s="45">
        <f>G66*0.790852567</f>
      </c>
      <c r="AP66" s="45">
        <f>G66*(1-0.790852567)</f>
      </c>
      <c r="AQ66" s="47" t="s">
        <v>50</v>
      </c>
      <c r="AV66" s="45">
        <f>ROUND(AW66+AX66,2)</f>
      </c>
      <c r="AW66" s="45">
        <f>ROUND(F66*AO66,2)</f>
      </c>
      <c r="AX66" s="45">
        <f>ROUND(F66*AP66,2)</f>
      </c>
      <c r="AY66" s="47" t="s">
        <v>123</v>
      </c>
      <c r="AZ66" s="47" t="s">
        <v>107</v>
      </c>
      <c r="BA66" s="28" t="s">
        <v>57</v>
      </c>
      <c r="BC66" s="45">
        <f>AW66+AX66</f>
      </c>
      <c r="BD66" s="45">
        <f>G66/(100-BE66)*100</f>
      </c>
      <c r="BE66" s="45" t="n">
        <v>0</v>
      </c>
      <c r="BF66" s="45">
        <f>66</f>
      </c>
      <c r="BH66" s="45">
        <f>F66*AO66</f>
      </c>
      <c r="BI66" s="45">
        <f>F66*AP66</f>
      </c>
      <c r="BJ66" s="45">
        <f>F66*G66</f>
      </c>
      <c r="BK66" s="45"/>
      <c r="BL66" s="45" t="n">
        <v>27</v>
      </c>
      <c r="BW66" s="45" t="n">
        <v>21</v>
      </c>
      <c r="BX66" s="14" t="s">
        <v>152</v>
      </c>
    </row>
    <row r="67" customHeight="true" ht="13.5">
      <c r="A67" s="48"/>
      <c r="B67" s="57" t="s">
        <v>92</v>
      </c>
      <c r="C67" s="58" t="s">
        <v>154</v>
      </c>
      <c r="D67" s="49"/>
      <c r="E67" s="49"/>
      <c r="F67" s="49"/>
      <c r="G67" s="49"/>
      <c r="H67" s="49"/>
      <c r="I67" s="49"/>
      <c r="J67" s="49"/>
      <c r="K67" s="59"/>
    </row>
    <row r="68">
      <c r="A68" s="48"/>
      <c r="C68" s="49" t="s">
        <v>155</v>
      </c>
      <c r="D68" s="49" t="s">
        <v>47</v>
      </c>
      <c r="F68" s="50" t="n">
        <v>0.41026</v>
      </c>
      <c r="K68" s="51"/>
    </row>
    <row r="69">
      <c r="A69" s="52" t="s">
        <v>47</v>
      </c>
      <c r="B69" s="53" t="s">
        <v>156</v>
      </c>
      <c r="C69" s="54" t="s">
        <v>157</v>
      </c>
      <c r="D69" s="53"/>
      <c r="E69" s="55" t="s">
        <v>4</v>
      </c>
      <c r="F69" s="55" t="s">
        <v>4</v>
      </c>
      <c r="G69" s="55" t="s">
        <v>4</v>
      </c>
      <c r="H69" s="2">
        <f>SUM(H70:H86)</f>
      </c>
      <c r="I69" s="2">
        <f>SUM(I70:I86)</f>
      </c>
      <c r="J69" s="2">
        <f>SUM(J70:J86)</f>
      </c>
      <c r="K69" s="56" t="s">
        <v>47</v>
      </c>
      <c r="AI69" s="28" t="s">
        <v>47</v>
      </c>
      <c r="AS69" s="2">
        <f>SUM(AJ70:AJ86)</f>
      </c>
      <c r="AT69" s="2">
        <f>SUM(AK70:AK86)</f>
      </c>
      <c r="AU69" s="2">
        <f>SUM(AL70:AL86)</f>
      </c>
    </row>
    <row r="70">
      <c r="A70" s="9" t="s">
        <v>101</v>
      </c>
      <c r="B70" s="10" t="s">
        <v>158</v>
      </c>
      <c r="C70" s="14" t="s">
        <v>159</v>
      </c>
      <c r="D70" s="10"/>
      <c r="E70" s="10" t="s">
        <v>112</v>
      </c>
      <c r="F70" s="45" t="n">
        <v>78.3825</v>
      </c>
      <c r="G70" s="45" t="n">
        <v>0</v>
      </c>
      <c r="H70" s="45">
        <f>ROUND(F70*AO70,2)</f>
      </c>
      <c r="I70" s="45">
        <f>ROUND(F70*AP70,2)</f>
      </c>
      <c r="J70" s="45">
        <f>ROUND(F70*G70,2)</f>
      </c>
      <c r="K70" s="46" t="s">
        <v>54</v>
      </c>
      <c r="Z70" s="45">
        <f>ROUND(IF(AQ70="5",BJ70,0),2)</f>
      </c>
      <c r="AB70" s="45">
        <f>ROUND(IF(AQ70="1",BH70,0),2)</f>
      </c>
      <c r="AC70" s="45">
        <f>ROUND(IF(AQ70="1",BI70,0),2)</f>
      </c>
      <c r="AD70" s="45">
        <f>ROUND(IF(AQ70="7",BH70,0),2)</f>
      </c>
      <c r="AE70" s="45">
        <f>ROUND(IF(AQ70="7",BI70,0),2)</f>
      </c>
      <c r="AF70" s="45">
        <f>ROUND(IF(AQ70="2",BH70,0),2)</f>
      </c>
      <c r="AG70" s="45">
        <f>ROUND(IF(AQ70="2",BI70,0),2)</f>
      </c>
      <c r="AH70" s="45">
        <f>ROUND(IF(AQ70="0",BJ70,0),2)</f>
      </c>
      <c r="AI70" s="28" t="s">
        <v>47</v>
      </c>
      <c r="AJ70" s="45">
        <f>IF(AN70=0,J70,0)</f>
      </c>
      <c r="AK70" s="45">
        <f>IF(AN70=12,J70,0)</f>
      </c>
      <c r="AL70" s="45">
        <f>IF(AN70=21,J70,0)</f>
      </c>
      <c r="AN70" s="45" t="n">
        <v>21</v>
      </c>
      <c r="AO70" s="45">
        <f>G70*0.789832938</f>
      </c>
      <c r="AP70" s="45">
        <f>G70*(1-0.789832938)</f>
      </c>
      <c r="AQ70" s="47" t="s">
        <v>50</v>
      </c>
      <c r="AV70" s="45">
        <f>ROUND(AW70+AX70,2)</f>
      </c>
      <c r="AW70" s="45">
        <f>ROUND(F70*AO70,2)</f>
      </c>
      <c r="AX70" s="45">
        <f>ROUND(F70*AP70,2)</f>
      </c>
      <c r="AY70" s="47" t="s">
        <v>160</v>
      </c>
      <c r="AZ70" s="47" t="s">
        <v>161</v>
      </c>
      <c r="BA70" s="28" t="s">
        <v>57</v>
      </c>
      <c r="BC70" s="45">
        <f>AW70+AX70</f>
      </c>
      <c r="BD70" s="45">
        <f>G70/(100-BE70)*100</f>
      </c>
      <c r="BE70" s="45" t="n">
        <v>0</v>
      </c>
      <c r="BF70" s="45">
        <f>70</f>
      </c>
      <c r="BH70" s="45">
        <f>F70*AO70</f>
      </c>
      <c r="BI70" s="45">
        <f>F70*AP70</f>
      </c>
      <c r="BJ70" s="45">
        <f>F70*G70</f>
      </c>
      <c r="BK70" s="45"/>
      <c r="BL70" s="45" t="n">
        <v>31</v>
      </c>
      <c r="BW70" s="45" t="n">
        <v>21</v>
      </c>
      <c r="BX70" s="14" t="s">
        <v>159</v>
      </c>
    </row>
    <row r="71">
      <c r="A71" s="48"/>
      <c r="C71" s="49" t="s">
        <v>162</v>
      </c>
      <c r="D71" s="49" t="s">
        <v>47</v>
      </c>
      <c r="F71" s="50" t="n">
        <v>61.65</v>
      </c>
      <c r="K71" s="51"/>
    </row>
    <row r="72">
      <c r="A72" s="48"/>
      <c r="C72" s="49" t="s">
        <v>163</v>
      </c>
      <c r="D72" s="49" t="s">
        <v>47</v>
      </c>
      <c r="F72" s="50" t="n">
        <v>-5.59</v>
      </c>
      <c r="K72" s="51"/>
    </row>
    <row r="73">
      <c r="A73" s="48"/>
      <c r="C73" s="49" t="s">
        <v>164</v>
      </c>
      <c r="D73" s="49" t="s">
        <v>47</v>
      </c>
      <c r="F73" s="50" t="n">
        <v>-2.15</v>
      </c>
      <c r="K73" s="51"/>
    </row>
    <row r="74">
      <c r="A74" s="48"/>
      <c r="C74" s="49" t="s">
        <v>165</v>
      </c>
      <c r="D74" s="49" t="s">
        <v>47</v>
      </c>
      <c r="F74" s="50" t="n">
        <v>-0.9375</v>
      </c>
      <c r="K74" s="51"/>
    </row>
    <row r="75">
      <c r="A75" s="48"/>
      <c r="C75" s="49" t="s">
        <v>166</v>
      </c>
      <c r="D75" s="49" t="s">
        <v>47</v>
      </c>
      <c r="F75" s="50" t="n">
        <v>23.52</v>
      </c>
      <c r="K75" s="51"/>
    </row>
    <row r="76">
      <c r="A76" s="48"/>
      <c r="C76" s="49" t="s">
        <v>167</v>
      </c>
      <c r="D76" s="49" t="s">
        <v>47</v>
      </c>
      <c r="F76" s="50" t="n">
        <v>1.89</v>
      </c>
      <c r="K76" s="51"/>
    </row>
    <row r="77">
      <c r="A77" s="9" t="s">
        <v>168</v>
      </c>
      <c r="B77" s="10" t="s">
        <v>169</v>
      </c>
      <c r="C77" s="14" t="s">
        <v>170</v>
      </c>
      <c r="D77" s="10"/>
      <c r="E77" s="10" t="s">
        <v>112</v>
      </c>
      <c r="F77" s="45" t="n">
        <v>7</v>
      </c>
      <c r="G77" s="45" t="n">
        <v>0</v>
      </c>
      <c r="H77" s="45">
        <f>ROUND(F77*AO77,2)</f>
      </c>
      <c r="I77" s="45">
        <f>ROUND(F77*AP77,2)</f>
      </c>
      <c r="J77" s="45">
        <f>ROUND(F77*G77,2)</f>
      </c>
      <c r="K77" s="46" t="s">
        <v>54</v>
      </c>
      <c r="Z77" s="45">
        <f>ROUND(IF(AQ77="5",BJ77,0),2)</f>
      </c>
      <c r="AB77" s="45">
        <f>ROUND(IF(AQ77="1",BH77,0),2)</f>
      </c>
      <c r="AC77" s="45">
        <f>ROUND(IF(AQ77="1",BI77,0),2)</f>
      </c>
      <c r="AD77" s="45">
        <f>ROUND(IF(AQ77="7",BH77,0),2)</f>
      </c>
      <c r="AE77" s="45">
        <f>ROUND(IF(AQ77="7",BI77,0),2)</f>
      </c>
      <c r="AF77" s="45">
        <f>ROUND(IF(AQ77="2",BH77,0),2)</f>
      </c>
      <c r="AG77" s="45">
        <f>ROUND(IF(AQ77="2",BI77,0),2)</f>
      </c>
      <c r="AH77" s="45">
        <f>ROUND(IF(AQ77="0",BJ77,0),2)</f>
      </c>
      <c r="AI77" s="28" t="s">
        <v>47</v>
      </c>
      <c r="AJ77" s="45">
        <f>IF(AN77=0,J77,0)</f>
      </c>
      <c r="AK77" s="45">
        <f>IF(AN77=12,J77,0)</f>
      </c>
      <c r="AL77" s="45">
        <f>IF(AN77=21,J77,0)</f>
      </c>
      <c r="AN77" s="45" t="n">
        <v>21</v>
      </c>
      <c r="AO77" s="45">
        <f>G77*0.66699873</f>
      </c>
      <c r="AP77" s="45">
        <f>G77*(1-0.66699873)</f>
      </c>
      <c r="AQ77" s="47" t="s">
        <v>50</v>
      </c>
      <c r="AV77" s="45">
        <f>ROUND(AW77+AX77,2)</f>
      </c>
      <c r="AW77" s="45">
        <f>ROUND(F77*AO77,2)</f>
      </c>
      <c r="AX77" s="45">
        <f>ROUND(F77*AP77,2)</f>
      </c>
      <c r="AY77" s="47" t="s">
        <v>160</v>
      </c>
      <c r="AZ77" s="47" t="s">
        <v>161</v>
      </c>
      <c r="BA77" s="28" t="s">
        <v>57</v>
      </c>
      <c r="BC77" s="45">
        <f>AW77+AX77</f>
      </c>
      <c r="BD77" s="45">
        <f>G77/(100-BE77)*100</f>
      </c>
      <c r="BE77" s="45" t="n">
        <v>0</v>
      </c>
      <c r="BF77" s="45">
        <f>77</f>
      </c>
      <c r="BH77" s="45">
        <f>F77*AO77</f>
      </c>
      <c r="BI77" s="45">
        <f>F77*AP77</f>
      </c>
      <c r="BJ77" s="45">
        <f>F77*G77</f>
      </c>
      <c r="BK77" s="45"/>
      <c r="BL77" s="45" t="n">
        <v>31</v>
      </c>
      <c r="BW77" s="45" t="n">
        <v>21</v>
      </c>
      <c r="BX77" s="14" t="s">
        <v>170</v>
      </c>
    </row>
    <row r="78" customHeight="true" ht="13.5">
      <c r="A78" s="48"/>
      <c r="B78" s="57" t="s">
        <v>92</v>
      </c>
      <c r="C78" s="58" t="s">
        <v>171</v>
      </c>
      <c r="D78" s="49"/>
      <c r="E78" s="49"/>
      <c r="F78" s="49"/>
      <c r="G78" s="49"/>
      <c r="H78" s="49"/>
      <c r="I78" s="49"/>
      <c r="J78" s="49"/>
      <c r="K78" s="59"/>
    </row>
    <row r="79">
      <c r="A79" s="48"/>
      <c r="C79" s="49" t="s">
        <v>172</v>
      </c>
      <c r="D79" s="49" t="s">
        <v>47</v>
      </c>
      <c r="F79" s="50" t="n">
        <v>7</v>
      </c>
      <c r="K79" s="51"/>
    </row>
    <row r="80">
      <c r="A80" s="9" t="s">
        <v>173</v>
      </c>
      <c r="B80" s="10" t="s">
        <v>174</v>
      </c>
      <c r="C80" s="14" t="s">
        <v>175</v>
      </c>
      <c r="D80" s="10"/>
      <c r="E80" s="10" t="s">
        <v>176</v>
      </c>
      <c r="F80" s="45" t="n">
        <v>4</v>
      </c>
      <c r="G80" s="45" t="n">
        <v>0</v>
      </c>
      <c r="H80" s="45">
        <f>ROUND(F80*AO80,2)</f>
      </c>
      <c r="I80" s="45">
        <f>ROUND(F80*AP80,2)</f>
      </c>
      <c r="J80" s="45">
        <f>ROUND(F80*G80,2)</f>
      </c>
      <c r="K80" s="46" t="s">
        <v>54</v>
      </c>
      <c r="Z80" s="45">
        <f>ROUND(IF(AQ80="5",BJ80,0),2)</f>
      </c>
      <c r="AB80" s="45">
        <f>ROUND(IF(AQ80="1",BH80,0),2)</f>
      </c>
      <c r="AC80" s="45">
        <f>ROUND(IF(AQ80="1",BI80,0),2)</f>
      </c>
      <c r="AD80" s="45">
        <f>ROUND(IF(AQ80="7",BH80,0),2)</f>
      </c>
      <c r="AE80" s="45">
        <f>ROUND(IF(AQ80="7",BI80,0),2)</f>
      </c>
      <c r="AF80" s="45">
        <f>ROUND(IF(AQ80="2",BH80,0),2)</f>
      </c>
      <c r="AG80" s="45">
        <f>ROUND(IF(AQ80="2",BI80,0),2)</f>
      </c>
      <c r="AH80" s="45">
        <f>ROUND(IF(AQ80="0",BJ80,0),2)</f>
      </c>
      <c r="AI80" s="28" t="s">
        <v>47</v>
      </c>
      <c r="AJ80" s="45">
        <f>IF(AN80=0,J80,0)</f>
      </c>
      <c r="AK80" s="45">
        <f>IF(AN80=12,J80,0)</f>
      </c>
      <c r="AL80" s="45">
        <f>IF(AN80=21,J80,0)</f>
      </c>
      <c r="AN80" s="45" t="n">
        <v>21</v>
      </c>
      <c r="AO80" s="45">
        <f>G80*0.677519824</f>
      </c>
      <c r="AP80" s="45">
        <f>G80*(1-0.677519824)</f>
      </c>
      <c r="AQ80" s="47" t="s">
        <v>50</v>
      </c>
      <c r="AV80" s="45">
        <f>ROUND(AW80+AX80,2)</f>
      </c>
      <c r="AW80" s="45">
        <f>ROUND(F80*AO80,2)</f>
      </c>
      <c r="AX80" s="45">
        <f>ROUND(F80*AP80,2)</f>
      </c>
      <c r="AY80" s="47" t="s">
        <v>160</v>
      </c>
      <c r="AZ80" s="47" t="s">
        <v>161</v>
      </c>
      <c r="BA80" s="28" t="s">
        <v>57</v>
      </c>
      <c r="BC80" s="45">
        <f>AW80+AX80</f>
      </c>
      <c r="BD80" s="45">
        <f>G80/(100-BE80)*100</f>
      </c>
      <c r="BE80" s="45" t="n">
        <v>0</v>
      </c>
      <c r="BF80" s="45">
        <f>80</f>
      </c>
      <c r="BH80" s="45">
        <f>F80*AO80</f>
      </c>
      <c r="BI80" s="45">
        <f>F80*AP80</f>
      </c>
      <c r="BJ80" s="45">
        <f>F80*G80</f>
      </c>
      <c r="BK80" s="45"/>
      <c r="BL80" s="45" t="n">
        <v>31</v>
      </c>
      <c r="BW80" s="45" t="n">
        <v>21</v>
      </c>
      <c r="BX80" s="14" t="s">
        <v>175</v>
      </c>
    </row>
    <row r="81">
      <c r="A81" s="48"/>
      <c r="C81" s="49" t="s">
        <v>69</v>
      </c>
      <c r="D81" s="49" t="s">
        <v>47</v>
      </c>
      <c r="F81" s="50" t="n">
        <v>4</v>
      </c>
      <c r="K81" s="51"/>
    </row>
    <row r="82">
      <c r="A82" s="9" t="s">
        <v>177</v>
      </c>
      <c r="B82" s="10" t="s">
        <v>178</v>
      </c>
      <c r="C82" s="14" t="s">
        <v>179</v>
      </c>
      <c r="D82" s="10"/>
      <c r="E82" s="10" t="s">
        <v>176</v>
      </c>
      <c r="F82" s="45" t="n">
        <v>4</v>
      </c>
      <c r="G82" s="45" t="n">
        <v>0</v>
      </c>
      <c r="H82" s="45">
        <f>ROUND(F82*AO82,2)</f>
      </c>
      <c r="I82" s="45">
        <f>ROUND(F82*AP82,2)</f>
      </c>
      <c r="J82" s="45">
        <f>ROUND(F82*G82,2)</f>
      </c>
      <c r="K82" s="46" t="s">
        <v>54</v>
      </c>
      <c r="Z82" s="45">
        <f>ROUND(IF(AQ82="5",BJ82,0),2)</f>
      </c>
      <c r="AB82" s="45">
        <f>ROUND(IF(AQ82="1",BH82,0),2)</f>
      </c>
      <c r="AC82" s="45">
        <f>ROUND(IF(AQ82="1",BI82,0),2)</f>
      </c>
      <c r="AD82" s="45">
        <f>ROUND(IF(AQ82="7",BH82,0),2)</f>
      </c>
      <c r="AE82" s="45">
        <f>ROUND(IF(AQ82="7",BI82,0),2)</f>
      </c>
      <c r="AF82" s="45">
        <f>ROUND(IF(AQ82="2",BH82,0),2)</f>
      </c>
      <c r="AG82" s="45">
        <f>ROUND(IF(AQ82="2",BI82,0),2)</f>
      </c>
      <c r="AH82" s="45">
        <f>ROUND(IF(AQ82="0",BJ82,0),2)</f>
      </c>
      <c r="AI82" s="28" t="s">
        <v>47</v>
      </c>
      <c r="AJ82" s="45">
        <f>IF(AN82=0,J82,0)</f>
      </c>
      <c r="AK82" s="45">
        <f>IF(AN82=12,J82,0)</f>
      </c>
      <c r="AL82" s="45">
        <f>IF(AN82=21,J82,0)</f>
      </c>
      <c r="AN82" s="45" t="n">
        <v>21</v>
      </c>
      <c r="AO82" s="45">
        <f>G82*0.815312163</f>
      </c>
      <c r="AP82" s="45">
        <f>G82*(1-0.815312163)</f>
      </c>
      <c r="AQ82" s="47" t="s">
        <v>50</v>
      </c>
      <c r="AV82" s="45">
        <f>ROUND(AW82+AX82,2)</f>
      </c>
      <c r="AW82" s="45">
        <f>ROUND(F82*AO82,2)</f>
      </c>
      <c r="AX82" s="45">
        <f>ROUND(F82*AP82,2)</f>
      </c>
      <c r="AY82" s="47" t="s">
        <v>160</v>
      </c>
      <c r="AZ82" s="47" t="s">
        <v>161</v>
      </c>
      <c r="BA82" s="28" t="s">
        <v>57</v>
      </c>
      <c r="BC82" s="45">
        <f>AW82+AX82</f>
      </c>
      <c r="BD82" s="45">
        <f>G82/(100-BE82)*100</f>
      </c>
      <c r="BE82" s="45" t="n">
        <v>0</v>
      </c>
      <c r="BF82" s="45">
        <f>82</f>
      </c>
      <c r="BH82" s="45">
        <f>F82*AO82</f>
      </c>
      <c r="BI82" s="45">
        <f>F82*AP82</f>
      </c>
      <c r="BJ82" s="45">
        <f>F82*G82</f>
      </c>
      <c r="BK82" s="45"/>
      <c r="BL82" s="45" t="n">
        <v>31</v>
      </c>
      <c r="BW82" s="45" t="n">
        <v>21</v>
      </c>
      <c r="BX82" s="14" t="s">
        <v>179</v>
      </c>
    </row>
    <row r="83">
      <c r="A83" s="48"/>
      <c r="C83" s="49" t="s">
        <v>69</v>
      </c>
      <c r="D83" s="49" t="s">
        <v>47</v>
      </c>
      <c r="F83" s="50" t="n">
        <v>4</v>
      </c>
      <c r="K83" s="51"/>
    </row>
    <row r="84">
      <c r="A84" s="9" t="s">
        <v>180</v>
      </c>
      <c r="B84" s="10" t="s">
        <v>181</v>
      </c>
      <c r="C84" s="14" t="s">
        <v>182</v>
      </c>
      <c r="D84" s="10"/>
      <c r="E84" s="10" t="s">
        <v>153</v>
      </c>
      <c r="F84" s="45" t="n">
        <v>0.098</v>
      </c>
      <c r="G84" s="45" t="n">
        <v>0</v>
      </c>
      <c r="H84" s="45">
        <f>ROUND(F84*AO84,2)</f>
      </c>
      <c r="I84" s="45">
        <f>ROUND(F84*AP84,2)</f>
      </c>
      <c r="J84" s="45">
        <f>ROUND(F84*G84,2)</f>
      </c>
      <c r="K84" s="46" t="s">
        <v>54</v>
      </c>
      <c r="Z84" s="45">
        <f>ROUND(IF(AQ84="5",BJ84,0),2)</f>
      </c>
      <c r="AB84" s="45">
        <f>ROUND(IF(AQ84="1",BH84,0),2)</f>
      </c>
      <c r="AC84" s="45">
        <f>ROUND(IF(AQ84="1",BI84,0),2)</f>
      </c>
      <c r="AD84" s="45">
        <f>ROUND(IF(AQ84="7",BH84,0),2)</f>
      </c>
      <c r="AE84" s="45">
        <f>ROUND(IF(AQ84="7",BI84,0),2)</f>
      </c>
      <c r="AF84" s="45">
        <f>ROUND(IF(AQ84="2",BH84,0),2)</f>
      </c>
      <c r="AG84" s="45">
        <f>ROUND(IF(AQ84="2",BI84,0),2)</f>
      </c>
      <c r="AH84" s="45">
        <f>ROUND(IF(AQ84="0",BJ84,0),2)</f>
      </c>
      <c r="AI84" s="28" t="s">
        <v>47</v>
      </c>
      <c r="AJ84" s="45">
        <f>IF(AN84=0,J84,0)</f>
      </c>
      <c r="AK84" s="45">
        <f>IF(AN84=12,J84,0)</f>
      </c>
      <c r="AL84" s="45">
        <f>IF(AN84=21,J84,0)</f>
      </c>
      <c r="AN84" s="45" t="n">
        <v>21</v>
      </c>
      <c r="AO84" s="45">
        <f>G84*0.001630145</f>
      </c>
      <c r="AP84" s="45">
        <f>G84*(1-0.001630145)</f>
      </c>
      <c r="AQ84" s="47" t="s">
        <v>50</v>
      </c>
      <c r="AV84" s="45">
        <f>ROUND(AW84+AX84,2)</f>
      </c>
      <c r="AW84" s="45">
        <f>ROUND(F84*AO84,2)</f>
      </c>
      <c r="AX84" s="45">
        <f>ROUND(F84*AP84,2)</f>
      </c>
      <c r="AY84" s="47" t="s">
        <v>160</v>
      </c>
      <c r="AZ84" s="47" t="s">
        <v>161</v>
      </c>
      <c r="BA84" s="28" t="s">
        <v>57</v>
      </c>
      <c r="BC84" s="45">
        <f>AW84+AX84</f>
      </c>
      <c r="BD84" s="45">
        <f>G84/(100-BE84)*100</f>
      </c>
      <c r="BE84" s="45" t="n">
        <v>0</v>
      </c>
      <c r="BF84" s="45">
        <f>84</f>
      </c>
      <c r="BH84" s="45">
        <f>F84*AO84</f>
      </c>
      <c r="BI84" s="45">
        <f>F84*AP84</f>
      </c>
      <c r="BJ84" s="45">
        <f>F84*G84</f>
      </c>
      <c r="BK84" s="45"/>
      <c r="BL84" s="45" t="n">
        <v>31</v>
      </c>
      <c r="BW84" s="45" t="n">
        <v>21</v>
      </c>
      <c r="BX84" s="14" t="s">
        <v>182</v>
      </c>
    </row>
    <row r="85">
      <c r="A85" s="48"/>
      <c r="C85" s="49" t="s">
        <v>183</v>
      </c>
      <c r="D85" s="49" t="s">
        <v>47</v>
      </c>
      <c r="F85" s="50" t="n">
        <v>0.098</v>
      </c>
      <c r="K85" s="51"/>
    </row>
    <row r="86">
      <c r="A86" s="9" t="s">
        <v>184</v>
      </c>
      <c r="B86" s="10" t="s">
        <v>185</v>
      </c>
      <c r="C86" s="14" t="s">
        <v>186</v>
      </c>
      <c r="D86" s="10"/>
      <c r="E86" s="10" t="s">
        <v>153</v>
      </c>
      <c r="F86" s="45" t="n">
        <v>0.10584</v>
      </c>
      <c r="G86" s="45" t="n">
        <v>0</v>
      </c>
      <c r="H86" s="45">
        <f>ROUND(F86*AO86,2)</f>
      </c>
      <c r="I86" s="45">
        <f>ROUND(F86*AP86,2)</f>
      </c>
      <c r="J86" s="45">
        <f>ROUND(F86*G86,2)</f>
      </c>
      <c r="K86" s="46" t="s">
        <v>54</v>
      </c>
      <c r="Z86" s="45">
        <f>ROUND(IF(AQ86="5",BJ86,0),2)</f>
      </c>
      <c r="AB86" s="45">
        <f>ROUND(IF(AQ86="1",BH86,0),2)</f>
      </c>
      <c r="AC86" s="45">
        <f>ROUND(IF(AQ86="1",BI86,0),2)</f>
      </c>
      <c r="AD86" s="45">
        <f>ROUND(IF(AQ86="7",BH86,0),2)</f>
      </c>
      <c r="AE86" s="45">
        <f>ROUND(IF(AQ86="7",BI86,0),2)</f>
      </c>
      <c r="AF86" s="45">
        <f>ROUND(IF(AQ86="2",BH86,0),2)</f>
      </c>
      <c r="AG86" s="45">
        <f>ROUND(IF(AQ86="2",BI86,0),2)</f>
      </c>
      <c r="AH86" s="45">
        <f>ROUND(IF(AQ86="0",BJ86,0),2)</f>
      </c>
      <c r="AI86" s="28" t="s">
        <v>47</v>
      </c>
      <c r="AJ86" s="45">
        <f>IF(AN86=0,J86,0)</f>
      </c>
      <c r="AK86" s="45">
        <f>IF(AN86=12,J86,0)</f>
      </c>
      <c r="AL86" s="45">
        <f>IF(AN86=21,J86,0)</f>
      </c>
      <c r="AN86" s="45" t="n">
        <v>21</v>
      </c>
      <c r="AO86" s="45">
        <f>G86*1</f>
      </c>
      <c r="AP86" s="45">
        <f>G86*(1-1)</f>
      </c>
      <c r="AQ86" s="47" t="s">
        <v>50</v>
      </c>
      <c r="AV86" s="45">
        <f>ROUND(AW86+AX86,2)</f>
      </c>
      <c r="AW86" s="45">
        <f>ROUND(F86*AO86,2)</f>
      </c>
      <c r="AX86" s="45">
        <f>ROUND(F86*AP86,2)</f>
      </c>
      <c r="AY86" s="47" t="s">
        <v>160</v>
      </c>
      <c r="AZ86" s="47" t="s">
        <v>161</v>
      </c>
      <c r="BA86" s="28" t="s">
        <v>57</v>
      </c>
      <c r="BC86" s="45">
        <f>AW86+AX86</f>
      </c>
      <c r="BD86" s="45">
        <f>G86/(100-BE86)*100</f>
      </c>
      <c r="BE86" s="45" t="n">
        <v>0</v>
      </c>
      <c r="BF86" s="45">
        <f>86</f>
      </c>
      <c r="BH86" s="45">
        <f>F86*AO86</f>
      </c>
      <c r="BI86" s="45">
        <f>F86*AP86</f>
      </c>
      <c r="BJ86" s="45">
        <f>F86*G86</f>
      </c>
      <c r="BK86" s="45"/>
      <c r="BL86" s="45" t="n">
        <v>31</v>
      </c>
      <c r="BW86" s="45" t="n">
        <v>21</v>
      </c>
      <c r="BX86" s="14" t="s">
        <v>186</v>
      </c>
    </row>
    <row r="87">
      <c r="A87" s="48"/>
      <c r="C87" s="49" t="s">
        <v>183</v>
      </c>
      <c r="D87" s="49" t="s">
        <v>47</v>
      </c>
      <c r="F87" s="50" t="n">
        <v>0.098</v>
      </c>
      <c r="K87" s="51"/>
    </row>
    <row r="88">
      <c r="A88" s="48"/>
      <c r="C88" s="49" t="s">
        <v>187</v>
      </c>
      <c r="D88" s="49" t="s">
        <v>47</v>
      </c>
      <c r="F88" s="50" t="n">
        <v>0.00784</v>
      </c>
      <c r="K88" s="51"/>
    </row>
    <row r="89">
      <c r="A89" s="52" t="s">
        <v>47</v>
      </c>
      <c r="B89" s="53" t="s">
        <v>188</v>
      </c>
      <c r="C89" s="54" t="s">
        <v>189</v>
      </c>
      <c r="D89" s="53"/>
      <c r="E89" s="55" t="s">
        <v>4</v>
      </c>
      <c r="F89" s="55" t="s">
        <v>4</v>
      </c>
      <c r="G89" s="55" t="s">
        <v>4</v>
      </c>
      <c r="H89" s="2">
        <f>SUM(H90:H93)</f>
      </c>
      <c r="I89" s="2">
        <f>SUM(I90:I93)</f>
      </c>
      <c r="J89" s="2">
        <f>SUM(J90:J93)</f>
      </c>
      <c r="K89" s="56" t="s">
        <v>47</v>
      </c>
      <c r="AI89" s="28" t="s">
        <v>47</v>
      </c>
      <c r="AS89" s="2">
        <f>SUM(AJ90:AJ93)</f>
      </c>
      <c r="AT89" s="2">
        <f>SUM(AK90:AK93)</f>
      </c>
      <c r="AU89" s="2">
        <f>SUM(AL90:AL93)</f>
      </c>
    </row>
    <row r="90">
      <c r="A90" s="9" t="s">
        <v>119</v>
      </c>
      <c r="B90" s="10" t="s">
        <v>190</v>
      </c>
      <c r="C90" s="14" t="s">
        <v>191</v>
      </c>
      <c r="D90" s="10"/>
      <c r="E90" s="10" t="s">
        <v>112</v>
      </c>
      <c r="F90" s="45" t="n">
        <v>56.8</v>
      </c>
      <c r="G90" s="45" t="n">
        <v>0</v>
      </c>
      <c r="H90" s="45">
        <f>ROUND(F90*AO90,2)</f>
      </c>
      <c r="I90" s="45">
        <f>ROUND(F90*AP90,2)</f>
      </c>
      <c r="J90" s="45">
        <f>ROUND(F90*G90,2)</f>
      </c>
      <c r="K90" s="46" t="s">
        <v>54</v>
      </c>
      <c r="Z90" s="45">
        <f>ROUND(IF(AQ90="5",BJ90,0),2)</f>
      </c>
      <c r="AB90" s="45">
        <f>ROUND(IF(AQ90="1",BH90,0),2)</f>
      </c>
      <c r="AC90" s="45">
        <f>ROUND(IF(AQ90="1",BI90,0),2)</f>
      </c>
      <c r="AD90" s="45">
        <f>ROUND(IF(AQ90="7",BH90,0),2)</f>
      </c>
      <c r="AE90" s="45">
        <f>ROUND(IF(AQ90="7",BI90,0),2)</f>
      </c>
      <c r="AF90" s="45">
        <f>ROUND(IF(AQ90="2",BH90,0),2)</f>
      </c>
      <c r="AG90" s="45">
        <f>ROUND(IF(AQ90="2",BI90,0),2)</f>
      </c>
      <c r="AH90" s="45">
        <f>ROUND(IF(AQ90="0",BJ90,0),2)</f>
      </c>
      <c r="AI90" s="28" t="s">
        <v>47</v>
      </c>
      <c r="AJ90" s="45">
        <f>IF(AN90=0,J90,0)</f>
      </c>
      <c r="AK90" s="45">
        <f>IF(AN90=12,J90,0)</f>
      </c>
      <c r="AL90" s="45">
        <f>IF(AN90=21,J90,0)</f>
      </c>
      <c r="AN90" s="45" t="n">
        <v>21</v>
      </c>
      <c r="AO90" s="45">
        <f>G90*0.375943944</f>
      </c>
      <c r="AP90" s="45">
        <f>G90*(1-0.375943944)</f>
      </c>
      <c r="AQ90" s="47" t="s">
        <v>50</v>
      </c>
      <c r="AV90" s="45">
        <f>ROUND(AW90+AX90,2)</f>
      </c>
      <c r="AW90" s="45">
        <f>ROUND(F90*AO90,2)</f>
      </c>
      <c r="AX90" s="45">
        <f>ROUND(F90*AP90,2)</f>
      </c>
      <c r="AY90" s="47" t="s">
        <v>192</v>
      </c>
      <c r="AZ90" s="47" t="s">
        <v>161</v>
      </c>
      <c r="BA90" s="28" t="s">
        <v>57</v>
      </c>
      <c r="BC90" s="45">
        <f>AW90+AX90</f>
      </c>
      <c r="BD90" s="45">
        <f>G90/(100-BE90)*100</f>
      </c>
      <c r="BE90" s="45" t="n">
        <v>0</v>
      </c>
      <c r="BF90" s="45">
        <f>90</f>
      </c>
      <c r="BH90" s="45">
        <f>F90*AO90</f>
      </c>
      <c r="BI90" s="45">
        <f>F90*AP90</f>
      </c>
      <c r="BJ90" s="45">
        <f>F90*G90</f>
      </c>
      <c r="BK90" s="45"/>
      <c r="BL90" s="45" t="n">
        <v>34</v>
      </c>
      <c r="BW90" s="45" t="n">
        <v>21</v>
      </c>
      <c r="BX90" s="14" t="s">
        <v>191</v>
      </c>
    </row>
    <row r="91" customHeight="true" ht="13.5">
      <c r="A91" s="48"/>
      <c r="B91" s="57" t="s">
        <v>92</v>
      </c>
      <c r="C91" s="58" t="s">
        <v>193</v>
      </c>
      <c r="D91" s="49"/>
      <c r="E91" s="49"/>
      <c r="F91" s="49"/>
      <c r="G91" s="49"/>
      <c r="H91" s="49"/>
      <c r="I91" s="49"/>
      <c r="J91" s="49"/>
      <c r="K91" s="59"/>
    </row>
    <row r="92">
      <c r="A92" s="48"/>
      <c r="C92" s="49" t="s">
        <v>194</v>
      </c>
      <c r="D92" s="49" t="s">
        <v>47</v>
      </c>
      <c r="F92" s="50" t="n">
        <v>56.8</v>
      </c>
      <c r="K92" s="51"/>
    </row>
    <row r="93">
      <c r="A93" s="9" t="s">
        <v>195</v>
      </c>
      <c r="B93" s="10" t="s">
        <v>196</v>
      </c>
      <c r="C93" s="14" t="s">
        <v>197</v>
      </c>
      <c r="D93" s="10"/>
      <c r="E93" s="10" t="s">
        <v>176</v>
      </c>
      <c r="F93" s="45" t="n">
        <v>1</v>
      </c>
      <c r="G93" s="45" t="n">
        <v>0</v>
      </c>
      <c r="H93" s="45">
        <f>ROUND(F93*AO93,2)</f>
      </c>
      <c r="I93" s="45">
        <f>ROUND(F93*AP93,2)</f>
      </c>
      <c r="J93" s="45">
        <f>ROUND(F93*G93,2)</f>
      </c>
      <c r="K93" s="46" t="s">
        <v>54</v>
      </c>
      <c r="Z93" s="45">
        <f>ROUND(IF(AQ93="5",BJ93,0),2)</f>
      </c>
      <c r="AB93" s="45">
        <f>ROUND(IF(AQ93="1",BH93,0),2)</f>
      </c>
      <c r="AC93" s="45">
        <f>ROUND(IF(AQ93="1",BI93,0),2)</f>
      </c>
      <c r="AD93" s="45">
        <f>ROUND(IF(AQ93="7",BH93,0),2)</f>
      </c>
      <c r="AE93" s="45">
        <f>ROUND(IF(AQ93="7",BI93,0),2)</f>
      </c>
      <c r="AF93" s="45">
        <f>ROUND(IF(AQ93="2",BH93,0),2)</f>
      </c>
      <c r="AG93" s="45">
        <f>ROUND(IF(AQ93="2",BI93,0),2)</f>
      </c>
      <c r="AH93" s="45">
        <f>ROUND(IF(AQ93="0",BJ93,0),2)</f>
      </c>
      <c r="AI93" s="28" t="s">
        <v>47</v>
      </c>
      <c r="AJ93" s="45">
        <f>IF(AN93=0,J93,0)</f>
      </c>
      <c r="AK93" s="45">
        <f>IF(AN93=12,J93,0)</f>
      </c>
      <c r="AL93" s="45">
        <f>IF(AN93=21,J93,0)</f>
      </c>
      <c r="AN93" s="45" t="n">
        <v>21</v>
      </c>
      <c r="AO93" s="45">
        <f>G93*0</f>
      </c>
      <c r="AP93" s="45">
        <f>G93*(1-0)</f>
      </c>
      <c r="AQ93" s="47" t="s">
        <v>50</v>
      </c>
      <c r="AV93" s="45">
        <f>ROUND(AW93+AX93,2)</f>
      </c>
      <c r="AW93" s="45">
        <f>ROUND(F93*AO93,2)</f>
      </c>
      <c r="AX93" s="45">
        <f>ROUND(F93*AP93,2)</f>
      </c>
      <c r="AY93" s="47" t="s">
        <v>192</v>
      </c>
      <c r="AZ93" s="47" t="s">
        <v>161</v>
      </c>
      <c r="BA93" s="28" t="s">
        <v>57</v>
      </c>
      <c r="BC93" s="45">
        <f>AW93+AX93</f>
      </c>
      <c r="BD93" s="45">
        <f>G93/(100-BE93)*100</f>
      </c>
      <c r="BE93" s="45" t="n">
        <v>0</v>
      </c>
      <c r="BF93" s="45">
        <f>93</f>
      </c>
      <c r="BH93" s="45">
        <f>F93*AO93</f>
      </c>
      <c r="BI93" s="45">
        <f>F93*AP93</f>
      </c>
      <c r="BJ93" s="45">
        <f>F93*G93</f>
      </c>
      <c r="BK93" s="45"/>
      <c r="BL93" s="45" t="n">
        <v>34</v>
      </c>
      <c r="BW93" s="45" t="n">
        <v>21</v>
      </c>
      <c r="BX93" s="14" t="s">
        <v>197</v>
      </c>
    </row>
    <row r="94">
      <c r="A94" s="48"/>
      <c r="C94" s="49" t="s">
        <v>50</v>
      </c>
      <c r="D94" s="49" t="s">
        <v>47</v>
      </c>
      <c r="F94" s="50" t="n">
        <v>1</v>
      </c>
      <c r="K94" s="51"/>
    </row>
    <row r="95">
      <c r="A95" s="52" t="s">
        <v>47</v>
      </c>
      <c r="B95" s="53" t="s">
        <v>198</v>
      </c>
      <c r="C95" s="54" t="s">
        <v>199</v>
      </c>
      <c r="D95" s="53"/>
      <c r="E95" s="55" t="s">
        <v>4</v>
      </c>
      <c r="F95" s="55" t="s">
        <v>4</v>
      </c>
      <c r="G95" s="55" t="s">
        <v>4</v>
      </c>
      <c r="H95" s="2">
        <f>SUM(H96:H109)</f>
      </c>
      <c r="I95" s="2">
        <f>SUM(I96:I109)</f>
      </c>
      <c r="J95" s="2">
        <f>SUM(J96:J109)</f>
      </c>
      <c r="K95" s="56" t="s">
        <v>47</v>
      </c>
      <c r="AI95" s="28" t="s">
        <v>47</v>
      </c>
      <c r="AS95" s="2">
        <f>SUM(AJ96:AJ109)</f>
      </c>
      <c r="AT95" s="2">
        <f>SUM(AK96:AK109)</f>
      </c>
      <c r="AU95" s="2">
        <f>SUM(AL96:AL109)</f>
      </c>
    </row>
    <row r="96">
      <c r="A96" s="9" t="s">
        <v>200</v>
      </c>
      <c r="B96" s="10" t="s">
        <v>201</v>
      </c>
      <c r="C96" s="14" t="s">
        <v>202</v>
      </c>
      <c r="D96" s="10"/>
      <c r="E96" s="10" t="s">
        <v>53</v>
      </c>
      <c r="F96" s="45" t="n">
        <v>1.7125</v>
      </c>
      <c r="G96" s="45" t="n">
        <v>0</v>
      </c>
      <c r="H96" s="45">
        <f>ROUND(F96*AO96,2)</f>
      </c>
      <c r="I96" s="45">
        <f>ROUND(F96*AP96,2)</f>
      </c>
      <c r="J96" s="45">
        <f>ROUND(F96*G96,2)</f>
      </c>
      <c r="K96" s="46" t="s">
        <v>54</v>
      </c>
      <c r="Z96" s="45">
        <f>ROUND(IF(AQ96="5",BJ96,0),2)</f>
      </c>
      <c r="AB96" s="45">
        <f>ROUND(IF(AQ96="1",BH96,0),2)</f>
      </c>
      <c r="AC96" s="45">
        <f>ROUND(IF(AQ96="1",BI96,0),2)</f>
      </c>
      <c r="AD96" s="45">
        <f>ROUND(IF(AQ96="7",BH96,0),2)</f>
      </c>
      <c r="AE96" s="45">
        <f>ROUND(IF(AQ96="7",BI96,0),2)</f>
      </c>
      <c r="AF96" s="45">
        <f>ROUND(IF(AQ96="2",BH96,0),2)</f>
      </c>
      <c r="AG96" s="45">
        <f>ROUND(IF(AQ96="2",BI96,0),2)</f>
      </c>
      <c r="AH96" s="45">
        <f>ROUND(IF(AQ96="0",BJ96,0),2)</f>
      </c>
      <c r="AI96" s="28" t="s">
        <v>47</v>
      </c>
      <c r="AJ96" s="45">
        <f>IF(AN96=0,J96,0)</f>
      </c>
      <c r="AK96" s="45">
        <f>IF(AN96=12,J96,0)</f>
      </c>
      <c r="AL96" s="45">
        <f>IF(AN96=21,J96,0)</f>
      </c>
      <c r="AN96" s="45" t="n">
        <v>21</v>
      </c>
      <c r="AO96" s="45">
        <f>G96*0.816210315</f>
      </c>
      <c r="AP96" s="45">
        <f>G96*(1-0.816210315)</f>
      </c>
      <c r="AQ96" s="47" t="s">
        <v>50</v>
      </c>
      <c r="AV96" s="45">
        <f>ROUND(AW96+AX96,2)</f>
      </c>
      <c r="AW96" s="45">
        <f>ROUND(F96*AO96,2)</f>
      </c>
      <c r="AX96" s="45">
        <f>ROUND(F96*AP96,2)</f>
      </c>
      <c r="AY96" s="47" t="s">
        <v>203</v>
      </c>
      <c r="AZ96" s="47" t="s">
        <v>204</v>
      </c>
      <c r="BA96" s="28" t="s">
        <v>57</v>
      </c>
      <c r="BC96" s="45">
        <f>AW96+AX96</f>
      </c>
      <c r="BD96" s="45">
        <f>G96/(100-BE96)*100</f>
      </c>
      <c r="BE96" s="45" t="n">
        <v>0</v>
      </c>
      <c r="BF96" s="45">
        <f>96</f>
      </c>
      <c r="BH96" s="45">
        <f>F96*AO96</f>
      </c>
      <c r="BI96" s="45">
        <f>F96*AP96</f>
      </c>
      <c r="BJ96" s="45">
        <f>F96*G96</f>
      </c>
      <c r="BK96" s="45"/>
      <c r="BL96" s="45" t="n">
        <v>41</v>
      </c>
      <c r="BW96" s="45" t="n">
        <v>21</v>
      </c>
      <c r="BX96" s="14" t="s">
        <v>202</v>
      </c>
    </row>
    <row r="97">
      <c r="A97" s="48"/>
      <c r="C97" s="49" t="s">
        <v>205</v>
      </c>
      <c r="D97" s="49" t="s">
        <v>47</v>
      </c>
      <c r="F97" s="50" t="n">
        <v>1.7125</v>
      </c>
      <c r="K97" s="51"/>
    </row>
    <row r="98">
      <c r="A98" s="9" t="s">
        <v>206</v>
      </c>
      <c r="B98" s="10" t="s">
        <v>207</v>
      </c>
      <c r="C98" s="14" t="s">
        <v>208</v>
      </c>
      <c r="D98" s="10"/>
      <c r="E98" s="10" t="s">
        <v>112</v>
      </c>
      <c r="F98" s="45" t="n">
        <v>16.44</v>
      </c>
      <c r="G98" s="45" t="n">
        <v>0</v>
      </c>
      <c r="H98" s="45">
        <f>ROUND(F98*AO98,2)</f>
      </c>
      <c r="I98" s="45">
        <f>ROUND(F98*AP98,2)</f>
      </c>
      <c r="J98" s="45">
        <f>ROUND(F98*G98,2)</f>
      </c>
      <c r="K98" s="46" t="s">
        <v>54</v>
      </c>
      <c r="Z98" s="45">
        <f>ROUND(IF(AQ98="5",BJ98,0),2)</f>
      </c>
      <c r="AB98" s="45">
        <f>ROUND(IF(AQ98="1",BH98,0),2)</f>
      </c>
      <c r="AC98" s="45">
        <f>ROUND(IF(AQ98="1",BI98,0),2)</f>
      </c>
      <c r="AD98" s="45">
        <f>ROUND(IF(AQ98="7",BH98,0),2)</f>
      </c>
      <c r="AE98" s="45">
        <f>ROUND(IF(AQ98="7",BI98,0),2)</f>
      </c>
      <c r="AF98" s="45">
        <f>ROUND(IF(AQ98="2",BH98,0),2)</f>
      </c>
      <c r="AG98" s="45">
        <f>ROUND(IF(AQ98="2",BI98,0),2)</f>
      </c>
      <c r="AH98" s="45">
        <f>ROUND(IF(AQ98="0",BJ98,0),2)</f>
      </c>
      <c r="AI98" s="28" t="s">
        <v>47</v>
      </c>
      <c r="AJ98" s="45">
        <f>IF(AN98=0,J98,0)</f>
      </c>
      <c r="AK98" s="45">
        <f>IF(AN98=12,J98,0)</f>
      </c>
      <c r="AL98" s="45">
        <f>IF(AN98=21,J98,0)</f>
      </c>
      <c r="AN98" s="45" t="n">
        <v>21</v>
      </c>
      <c r="AO98" s="45">
        <f>G98*0.195284275</f>
      </c>
      <c r="AP98" s="45">
        <f>G98*(1-0.195284275)</f>
      </c>
      <c r="AQ98" s="47" t="s">
        <v>50</v>
      </c>
      <c r="AV98" s="45">
        <f>ROUND(AW98+AX98,2)</f>
      </c>
      <c r="AW98" s="45">
        <f>ROUND(F98*AO98,2)</f>
      </c>
      <c r="AX98" s="45">
        <f>ROUND(F98*AP98,2)</f>
      </c>
      <c r="AY98" s="47" t="s">
        <v>203</v>
      </c>
      <c r="AZ98" s="47" t="s">
        <v>204</v>
      </c>
      <c r="BA98" s="28" t="s">
        <v>57</v>
      </c>
      <c r="BC98" s="45">
        <f>AW98+AX98</f>
      </c>
      <c r="BD98" s="45">
        <f>G98/(100-BE98)*100</f>
      </c>
      <c r="BE98" s="45" t="n">
        <v>0</v>
      </c>
      <c r="BF98" s="45">
        <f>98</f>
      </c>
      <c r="BH98" s="45">
        <f>F98*AO98</f>
      </c>
      <c r="BI98" s="45">
        <f>F98*AP98</f>
      </c>
      <c r="BJ98" s="45">
        <f>F98*G98</f>
      </c>
      <c r="BK98" s="45"/>
      <c r="BL98" s="45" t="n">
        <v>41</v>
      </c>
      <c r="BW98" s="45" t="n">
        <v>21</v>
      </c>
      <c r="BX98" s="14" t="s">
        <v>208</v>
      </c>
    </row>
    <row r="99">
      <c r="A99" s="48"/>
      <c r="C99" s="49" t="s">
        <v>209</v>
      </c>
      <c r="D99" s="49" t="s">
        <v>47</v>
      </c>
      <c r="F99" s="50" t="n">
        <v>16.44</v>
      </c>
      <c r="K99" s="51"/>
    </row>
    <row r="100">
      <c r="A100" s="9" t="s">
        <v>156</v>
      </c>
      <c r="B100" s="10" t="s">
        <v>210</v>
      </c>
      <c r="C100" s="14" t="s">
        <v>211</v>
      </c>
      <c r="D100" s="10"/>
      <c r="E100" s="10" t="s">
        <v>112</v>
      </c>
      <c r="F100" s="45" t="n">
        <v>16.44</v>
      </c>
      <c r="G100" s="45" t="n">
        <v>0</v>
      </c>
      <c r="H100" s="45">
        <f>ROUND(F100*AO100,2)</f>
      </c>
      <c r="I100" s="45">
        <f>ROUND(F100*AP100,2)</f>
      </c>
      <c r="J100" s="45">
        <f>ROUND(F100*G100,2)</f>
      </c>
      <c r="K100" s="46" t="s">
        <v>54</v>
      </c>
      <c r="Z100" s="45">
        <f>ROUND(IF(AQ100="5",BJ100,0),2)</f>
      </c>
      <c r="AB100" s="45">
        <f>ROUND(IF(AQ100="1",BH100,0),2)</f>
      </c>
      <c r="AC100" s="45">
        <f>ROUND(IF(AQ100="1",BI100,0),2)</f>
      </c>
      <c r="AD100" s="45">
        <f>ROUND(IF(AQ100="7",BH100,0),2)</f>
      </c>
      <c r="AE100" s="45">
        <f>ROUND(IF(AQ100="7",BI100,0),2)</f>
      </c>
      <c r="AF100" s="45">
        <f>ROUND(IF(AQ100="2",BH100,0),2)</f>
      </c>
      <c r="AG100" s="45">
        <f>ROUND(IF(AQ100="2",BI100,0),2)</f>
      </c>
      <c r="AH100" s="45">
        <f>ROUND(IF(AQ100="0",BJ100,0),2)</f>
      </c>
      <c r="AI100" s="28" t="s">
        <v>47</v>
      </c>
      <c r="AJ100" s="45">
        <f>IF(AN100=0,J100,0)</f>
      </c>
      <c r="AK100" s="45">
        <f>IF(AN100=12,J100,0)</f>
      </c>
      <c r="AL100" s="45">
        <f>IF(AN100=21,J100,0)</f>
      </c>
      <c r="AN100" s="45" t="n">
        <v>21</v>
      </c>
      <c r="AO100" s="45">
        <f>G100*0</f>
      </c>
      <c r="AP100" s="45">
        <f>G100*(1-0)</f>
      </c>
      <c r="AQ100" s="47" t="s">
        <v>50</v>
      </c>
      <c r="AV100" s="45">
        <f>ROUND(AW100+AX100,2)</f>
      </c>
      <c r="AW100" s="45">
        <f>ROUND(F100*AO100,2)</f>
      </c>
      <c r="AX100" s="45">
        <f>ROUND(F100*AP100,2)</f>
      </c>
      <c r="AY100" s="47" t="s">
        <v>203</v>
      </c>
      <c r="AZ100" s="47" t="s">
        <v>204</v>
      </c>
      <c r="BA100" s="28" t="s">
        <v>57</v>
      </c>
      <c r="BC100" s="45">
        <f>AW100+AX100</f>
      </c>
      <c r="BD100" s="45">
        <f>G100/(100-BE100)*100</f>
      </c>
      <c r="BE100" s="45" t="n">
        <v>0</v>
      </c>
      <c r="BF100" s="45">
        <f>100</f>
      </c>
      <c r="BH100" s="45">
        <f>F100*AO100</f>
      </c>
      <c r="BI100" s="45">
        <f>F100*AP100</f>
      </c>
      <c r="BJ100" s="45">
        <f>F100*G100</f>
      </c>
      <c r="BK100" s="45"/>
      <c r="BL100" s="45" t="n">
        <v>41</v>
      </c>
      <c r="BW100" s="45" t="n">
        <v>21</v>
      </c>
      <c r="BX100" s="14" t="s">
        <v>211</v>
      </c>
    </row>
    <row r="101">
      <c r="A101" s="48"/>
      <c r="C101" s="49" t="s">
        <v>209</v>
      </c>
      <c r="D101" s="49" t="s">
        <v>47</v>
      </c>
      <c r="F101" s="50" t="n">
        <v>16.44</v>
      </c>
      <c r="K101" s="51"/>
    </row>
    <row r="102">
      <c r="A102" s="9" t="s">
        <v>212</v>
      </c>
      <c r="B102" s="10" t="s">
        <v>213</v>
      </c>
      <c r="C102" s="14" t="s">
        <v>214</v>
      </c>
      <c r="D102" s="10"/>
      <c r="E102" s="10" t="s">
        <v>153</v>
      </c>
      <c r="F102" s="45" t="n">
        <v>0.154</v>
      </c>
      <c r="G102" s="45" t="n">
        <v>0</v>
      </c>
      <c r="H102" s="45">
        <f>ROUND(F102*AO102,2)</f>
      </c>
      <c r="I102" s="45">
        <f>ROUND(F102*AP102,2)</f>
      </c>
      <c r="J102" s="45">
        <f>ROUND(F102*G102,2)</f>
      </c>
      <c r="K102" s="46" t="s">
        <v>54</v>
      </c>
      <c r="Z102" s="45">
        <f>ROUND(IF(AQ102="5",BJ102,0),2)</f>
      </c>
      <c r="AB102" s="45">
        <f>ROUND(IF(AQ102="1",BH102,0),2)</f>
      </c>
      <c r="AC102" s="45">
        <f>ROUND(IF(AQ102="1",BI102,0),2)</f>
      </c>
      <c r="AD102" s="45">
        <f>ROUND(IF(AQ102="7",BH102,0),2)</f>
      </c>
      <c r="AE102" s="45">
        <f>ROUND(IF(AQ102="7",BI102,0),2)</f>
      </c>
      <c r="AF102" s="45">
        <f>ROUND(IF(AQ102="2",BH102,0),2)</f>
      </c>
      <c r="AG102" s="45">
        <f>ROUND(IF(AQ102="2",BI102,0),2)</f>
      </c>
      <c r="AH102" s="45">
        <f>ROUND(IF(AQ102="0",BJ102,0),2)</f>
      </c>
      <c r="AI102" s="28" t="s">
        <v>47</v>
      </c>
      <c r="AJ102" s="45">
        <f>IF(AN102=0,J102,0)</f>
      </c>
      <c r="AK102" s="45">
        <f>IF(AN102=12,J102,0)</f>
      </c>
      <c r="AL102" s="45">
        <f>IF(AN102=21,J102,0)</f>
      </c>
      <c r="AN102" s="45" t="n">
        <v>21</v>
      </c>
      <c r="AO102" s="45">
        <f>G102*0.690049511</f>
      </c>
      <c r="AP102" s="45">
        <f>G102*(1-0.690049511)</f>
      </c>
      <c r="AQ102" s="47" t="s">
        <v>50</v>
      </c>
      <c r="AV102" s="45">
        <f>ROUND(AW102+AX102,2)</f>
      </c>
      <c r="AW102" s="45">
        <f>ROUND(F102*AO102,2)</f>
      </c>
      <c r="AX102" s="45">
        <f>ROUND(F102*AP102,2)</f>
      </c>
      <c r="AY102" s="47" t="s">
        <v>203</v>
      </c>
      <c r="AZ102" s="47" t="s">
        <v>204</v>
      </c>
      <c r="BA102" s="28" t="s">
        <v>57</v>
      </c>
      <c r="BC102" s="45">
        <f>AW102+AX102</f>
      </c>
      <c r="BD102" s="45">
        <f>G102/(100-BE102)*100</f>
      </c>
      <c r="BE102" s="45" t="n">
        <v>0</v>
      </c>
      <c r="BF102" s="45">
        <f>102</f>
      </c>
      <c r="BH102" s="45">
        <f>F102*AO102</f>
      </c>
      <c r="BI102" s="45">
        <f>F102*AP102</f>
      </c>
      <c r="BJ102" s="45">
        <f>F102*G102</f>
      </c>
      <c r="BK102" s="45"/>
      <c r="BL102" s="45" t="n">
        <v>41</v>
      </c>
      <c r="BW102" s="45" t="n">
        <v>21</v>
      </c>
      <c r="BX102" s="14" t="s">
        <v>214</v>
      </c>
    </row>
    <row r="103">
      <c r="A103" s="48"/>
      <c r="C103" s="49" t="s">
        <v>215</v>
      </c>
      <c r="D103" s="49" t="s">
        <v>47</v>
      </c>
      <c r="F103" s="50" t="n">
        <v>0.154</v>
      </c>
      <c r="K103" s="51"/>
    </row>
    <row r="104">
      <c r="A104" s="9" t="s">
        <v>216</v>
      </c>
      <c r="B104" s="10" t="s">
        <v>217</v>
      </c>
      <c r="C104" s="14" t="s">
        <v>218</v>
      </c>
      <c r="D104" s="10"/>
      <c r="E104" s="10" t="s">
        <v>176</v>
      </c>
      <c r="F104" s="45" t="n">
        <v>7</v>
      </c>
      <c r="G104" s="45" t="n">
        <v>0</v>
      </c>
      <c r="H104" s="45">
        <f>ROUND(F104*AO104,2)</f>
      </c>
      <c r="I104" s="45">
        <f>ROUND(F104*AP104,2)</f>
      </c>
      <c r="J104" s="45">
        <f>ROUND(F104*G104,2)</f>
      </c>
      <c r="K104" s="46" t="s">
        <v>54</v>
      </c>
      <c r="Z104" s="45">
        <f>ROUND(IF(AQ104="5",BJ104,0),2)</f>
      </c>
      <c r="AB104" s="45">
        <f>ROUND(IF(AQ104="1",BH104,0),2)</f>
      </c>
      <c r="AC104" s="45">
        <f>ROUND(IF(AQ104="1",BI104,0),2)</f>
      </c>
      <c r="AD104" s="45">
        <f>ROUND(IF(AQ104="7",BH104,0),2)</f>
      </c>
      <c r="AE104" s="45">
        <f>ROUND(IF(AQ104="7",BI104,0),2)</f>
      </c>
      <c r="AF104" s="45">
        <f>ROUND(IF(AQ104="2",BH104,0),2)</f>
      </c>
      <c r="AG104" s="45">
        <f>ROUND(IF(AQ104="2",BI104,0),2)</f>
      </c>
      <c r="AH104" s="45">
        <f>ROUND(IF(AQ104="0",BJ104,0),2)</f>
      </c>
      <c r="AI104" s="28" t="s">
        <v>47</v>
      </c>
      <c r="AJ104" s="45">
        <f>IF(AN104=0,J104,0)</f>
      </c>
      <c r="AK104" s="45">
        <f>IF(AN104=12,J104,0)</f>
      </c>
      <c r="AL104" s="45">
        <f>IF(AN104=21,J104,0)</f>
      </c>
      <c r="AN104" s="45" t="n">
        <v>21</v>
      </c>
      <c r="AO104" s="45">
        <f>G104*0.213856574</f>
      </c>
      <c r="AP104" s="45">
        <f>G104*(1-0.213856574)</f>
      </c>
      <c r="AQ104" s="47" t="s">
        <v>50</v>
      </c>
      <c r="AV104" s="45">
        <f>ROUND(AW104+AX104,2)</f>
      </c>
      <c r="AW104" s="45">
        <f>ROUND(F104*AO104,2)</f>
      </c>
      <c r="AX104" s="45">
        <f>ROUND(F104*AP104,2)</f>
      </c>
      <c r="AY104" s="47" t="s">
        <v>203</v>
      </c>
      <c r="AZ104" s="47" t="s">
        <v>204</v>
      </c>
      <c r="BA104" s="28" t="s">
        <v>57</v>
      </c>
      <c r="BC104" s="45">
        <f>AW104+AX104</f>
      </c>
      <c r="BD104" s="45">
        <f>G104/(100-BE104)*100</f>
      </c>
      <c r="BE104" s="45" t="n">
        <v>0</v>
      </c>
      <c r="BF104" s="45">
        <f>104</f>
      </c>
      <c r="BH104" s="45">
        <f>F104*AO104</f>
      </c>
      <c r="BI104" s="45">
        <f>F104*AP104</f>
      </c>
      <c r="BJ104" s="45">
        <f>F104*G104</f>
      </c>
      <c r="BK104" s="45"/>
      <c r="BL104" s="45" t="n">
        <v>41</v>
      </c>
      <c r="BW104" s="45" t="n">
        <v>21</v>
      </c>
      <c r="BX104" s="14" t="s">
        <v>218</v>
      </c>
    </row>
    <row r="105">
      <c r="A105" s="48"/>
      <c r="C105" s="49" t="s">
        <v>88</v>
      </c>
      <c r="D105" s="49" t="s">
        <v>47</v>
      </c>
      <c r="F105" s="50" t="n">
        <v>7</v>
      </c>
      <c r="K105" s="51"/>
    </row>
    <row r="106">
      <c r="A106" s="9" t="s">
        <v>188</v>
      </c>
      <c r="B106" s="10" t="s">
        <v>219</v>
      </c>
      <c r="C106" s="14" t="s">
        <v>220</v>
      </c>
      <c r="D106" s="10"/>
      <c r="E106" s="10" t="s">
        <v>221</v>
      </c>
      <c r="F106" s="45" t="n">
        <v>34.7</v>
      </c>
      <c r="G106" s="45" t="n">
        <v>0</v>
      </c>
      <c r="H106" s="45">
        <f>ROUND(F106*AO106,2)</f>
      </c>
      <c r="I106" s="45">
        <f>ROUND(F106*AP106,2)</f>
      </c>
      <c r="J106" s="45">
        <f>ROUND(F106*G106,2)</f>
      </c>
      <c r="K106" s="46" t="s">
        <v>54</v>
      </c>
      <c r="Z106" s="45">
        <f>ROUND(IF(AQ106="5",BJ106,0),2)</f>
      </c>
      <c r="AB106" s="45">
        <f>ROUND(IF(AQ106="1",BH106,0),2)</f>
      </c>
      <c r="AC106" s="45">
        <f>ROUND(IF(AQ106="1",BI106,0),2)</f>
      </c>
      <c r="AD106" s="45">
        <f>ROUND(IF(AQ106="7",BH106,0),2)</f>
      </c>
      <c r="AE106" s="45">
        <f>ROUND(IF(AQ106="7",BI106,0),2)</f>
      </c>
      <c r="AF106" s="45">
        <f>ROUND(IF(AQ106="2",BH106,0),2)</f>
      </c>
      <c r="AG106" s="45">
        <f>ROUND(IF(AQ106="2",BI106,0),2)</f>
      </c>
      <c r="AH106" s="45">
        <f>ROUND(IF(AQ106="0",BJ106,0),2)</f>
      </c>
      <c r="AI106" s="28" t="s">
        <v>47</v>
      </c>
      <c r="AJ106" s="45">
        <f>IF(AN106=0,J106,0)</f>
      </c>
      <c r="AK106" s="45">
        <f>IF(AN106=12,J106,0)</f>
      </c>
      <c r="AL106" s="45">
        <f>IF(AN106=21,J106,0)</f>
      </c>
      <c r="AN106" s="45" t="n">
        <v>21</v>
      </c>
      <c r="AO106" s="45">
        <f>G106*1</f>
      </c>
      <c r="AP106" s="45">
        <f>G106*(1-1)</f>
      </c>
      <c r="AQ106" s="47" t="s">
        <v>50</v>
      </c>
      <c r="AV106" s="45">
        <f>ROUND(AW106+AX106,2)</f>
      </c>
      <c r="AW106" s="45">
        <f>ROUND(F106*AO106,2)</f>
      </c>
      <c r="AX106" s="45">
        <f>ROUND(F106*AP106,2)</f>
      </c>
      <c r="AY106" s="47" t="s">
        <v>203</v>
      </c>
      <c r="AZ106" s="47" t="s">
        <v>204</v>
      </c>
      <c r="BA106" s="28" t="s">
        <v>57</v>
      </c>
      <c r="BC106" s="45">
        <f>AW106+AX106</f>
      </c>
      <c r="BD106" s="45">
        <f>G106/(100-BE106)*100</f>
      </c>
      <c r="BE106" s="45" t="n">
        <v>0</v>
      </c>
      <c r="BF106" s="45">
        <f>106</f>
      </c>
      <c r="BH106" s="45">
        <f>F106*AO106</f>
      </c>
      <c r="BI106" s="45">
        <f>F106*AP106</f>
      </c>
      <c r="BJ106" s="45">
        <f>F106*G106</f>
      </c>
      <c r="BK106" s="45"/>
      <c r="BL106" s="45" t="n">
        <v>41</v>
      </c>
      <c r="BW106" s="45" t="n">
        <v>21</v>
      </c>
      <c r="BX106" s="14" t="s">
        <v>220</v>
      </c>
    </row>
    <row r="107">
      <c r="A107" s="48"/>
      <c r="C107" s="49" t="s">
        <v>222</v>
      </c>
      <c r="D107" s="49" t="s">
        <v>47</v>
      </c>
      <c r="F107" s="50" t="n">
        <v>30</v>
      </c>
      <c r="K107" s="51"/>
    </row>
    <row r="108">
      <c r="A108" s="48"/>
      <c r="C108" s="49" t="s">
        <v>223</v>
      </c>
      <c r="D108" s="49" t="s">
        <v>47</v>
      </c>
      <c r="F108" s="50" t="n">
        <v>4.7</v>
      </c>
      <c r="K108" s="51"/>
    </row>
    <row r="109">
      <c r="A109" s="9" t="s">
        <v>224</v>
      </c>
      <c r="B109" s="10" t="s">
        <v>225</v>
      </c>
      <c r="C109" s="14" t="s">
        <v>226</v>
      </c>
      <c r="D109" s="10"/>
      <c r="E109" s="10" t="s">
        <v>112</v>
      </c>
      <c r="F109" s="45" t="n">
        <v>38.76</v>
      </c>
      <c r="G109" s="45" t="n">
        <v>0</v>
      </c>
      <c r="H109" s="45">
        <f>ROUND(F109*AO109,2)</f>
      </c>
      <c r="I109" s="45">
        <f>ROUND(F109*AP109,2)</f>
      </c>
      <c r="J109" s="45">
        <f>ROUND(F109*G109,2)</f>
      </c>
      <c r="K109" s="46" t="s">
        <v>54</v>
      </c>
      <c r="Z109" s="45">
        <f>ROUND(IF(AQ109="5",BJ109,0),2)</f>
      </c>
      <c r="AB109" s="45">
        <f>ROUND(IF(AQ109="1",BH109,0),2)</f>
      </c>
      <c r="AC109" s="45">
        <f>ROUND(IF(AQ109="1",BI109,0),2)</f>
      </c>
      <c r="AD109" s="45">
        <f>ROUND(IF(AQ109="7",BH109,0),2)</f>
      </c>
      <c r="AE109" s="45">
        <f>ROUND(IF(AQ109="7",BI109,0),2)</f>
      </c>
      <c r="AF109" s="45">
        <f>ROUND(IF(AQ109="2",BH109,0),2)</f>
      </c>
      <c r="AG109" s="45">
        <f>ROUND(IF(AQ109="2",BI109,0),2)</f>
      </c>
      <c r="AH109" s="45">
        <f>ROUND(IF(AQ109="0",BJ109,0),2)</f>
      </c>
      <c r="AI109" s="28" t="s">
        <v>47</v>
      </c>
      <c r="AJ109" s="45">
        <f>IF(AN109=0,J109,0)</f>
      </c>
      <c r="AK109" s="45">
        <f>IF(AN109=12,J109,0)</f>
      </c>
      <c r="AL109" s="45">
        <f>IF(AN109=21,J109,0)</f>
      </c>
      <c r="AN109" s="45" t="n">
        <v>21</v>
      </c>
      <c r="AO109" s="45">
        <f>G109*0.364274496</f>
      </c>
      <c r="AP109" s="45">
        <f>G109*(1-0.364274496)</f>
      </c>
      <c r="AQ109" s="47" t="s">
        <v>50</v>
      </c>
      <c r="AV109" s="45">
        <f>ROUND(AW109+AX109,2)</f>
      </c>
      <c r="AW109" s="45">
        <f>ROUND(F109*AO109,2)</f>
      </c>
      <c r="AX109" s="45">
        <f>ROUND(F109*AP109,2)</f>
      </c>
      <c r="AY109" s="47" t="s">
        <v>203</v>
      </c>
      <c r="AZ109" s="47" t="s">
        <v>204</v>
      </c>
      <c r="BA109" s="28" t="s">
        <v>57</v>
      </c>
      <c r="BC109" s="45">
        <f>AW109+AX109</f>
      </c>
      <c r="BD109" s="45">
        <f>G109/(100-BE109)*100</f>
      </c>
      <c r="BE109" s="45" t="n">
        <v>0</v>
      </c>
      <c r="BF109" s="45">
        <f>109</f>
      </c>
      <c r="BH109" s="45">
        <f>F109*AO109</f>
      </c>
      <c r="BI109" s="45">
        <f>F109*AP109</f>
      </c>
      <c r="BJ109" s="45">
        <f>F109*G109</f>
      </c>
      <c r="BK109" s="45"/>
      <c r="BL109" s="45" t="n">
        <v>41</v>
      </c>
      <c r="BW109" s="45" t="n">
        <v>21</v>
      </c>
      <c r="BX109" s="14" t="s">
        <v>226</v>
      </c>
    </row>
    <row r="110">
      <c r="A110" s="48"/>
      <c r="C110" s="49" t="s">
        <v>227</v>
      </c>
      <c r="D110" s="49" t="s">
        <v>47</v>
      </c>
      <c r="F110" s="50" t="n">
        <v>38.76</v>
      </c>
      <c r="K110" s="51"/>
    </row>
    <row r="111">
      <c r="A111" s="52" t="s">
        <v>47</v>
      </c>
      <c r="B111" s="53" t="s">
        <v>228</v>
      </c>
      <c r="C111" s="54" t="s">
        <v>229</v>
      </c>
      <c r="D111" s="53"/>
      <c r="E111" s="55" t="s">
        <v>4</v>
      </c>
      <c r="F111" s="55" t="s">
        <v>4</v>
      </c>
      <c r="G111" s="55" t="s">
        <v>4</v>
      </c>
      <c r="H111" s="2">
        <f>SUM(H112:H122)</f>
      </c>
      <c r="I111" s="2">
        <f>SUM(I112:I122)</f>
      </c>
      <c r="J111" s="2">
        <f>SUM(J112:J122)</f>
      </c>
      <c r="K111" s="56" t="s">
        <v>47</v>
      </c>
      <c r="AI111" s="28" t="s">
        <v>47</v>
      </c>
      <c r="AS111" s="2">
        <f>SUM(AJ112:AJ122)</f>
      </c>
      <c r="AT111" s="2">
        <f>SUM(AK112:AK122)</f>
      </c>
      <c r="AU111" s="2">
        <f>SUM(AL112:AL122)</f>
      </c>
    </row>
    <row r="112">
      <c r="A112" s="9" t="s">
        <v>230</v>
      </c>
      <c r="B112" s="10" t="s">
        <v>231</v>
      </c>
      <c r="C112" s="14" t="s">
        <v>232</v>
      </c>
      <c r="D112" s="10"/>
      <c r="E112" s="10" t="s">
        <v>112</v>
      </c>
      <c r="F112" s="45" t="n">
        <v>5.2</v>
      </c>
      <c r="G112" s="45" t="n">
        <v>0</v>
      </c>
      <c r="H112" s="45">
        <f>ROUND(F112*AO112,2)</f>
      </c>
      <c r="I112" s="45">
        <f>ROUND(F112*AP112,2)</f>
      </c>
      <c r="J112" s="45">
        <f>ROUND(F112*G112,2)</f>
      </c>
      <c r="K112" s="46" t="s">
        <v>54</v>
      </c>
      <c r="Z112" s="45">
        <f>ROUND(IF(AQ112="5",BJ112,0),2)</f>
      </c>
      <c r="AB112" s="45">
        <f>ROUND(IF(AQ112="1",BH112,0),2)</f>
      </c>
      <c r="AC112" s="45">
        <f>ROUND(IF(AQ112="1",BI112,0),2)</f>
      </c>
      <c r="AD112" s="45">
        <f>ROUND(IF(AQ112="7",BH112,0),2)</f>
      </c>
      <c r="AE112" s="45">
        <f>ROUND(IF(AQ112="7",BI112,0),2)</f>
      </c>
      <c r="AF112" s="45">
        <f>ROUND(IF(AQ112="2",BH112,0),2)</f>
      </c>
      <c r="AG112" s="45">
        <f>ROUND(IF(AQ112="2",BI112,0),2)</f>
      </c>
      <c r="AH112" s="45">
        <f>ROUND(IF(AQ112="0",BJ112,0),2)</f>
      </c>
      <c r="AI112" s="28" t="s">
        <v>47</v>
      </c>
      <c r="AJ112" s="45">
        <f>IF(AN112=0,J112,0)</f>
      </c>
      <c r="AK112" s="45">
        <f>IF(AN112=12,J112,0)</f>
      </c>
      <c r="AL112" s="45">
        <f>IF(AN112=21,J112,0)</f>
      </c>
      <c r="AN112" s="45" t="n">
        <v>21</v>
      </c>
      <c r="AO112" s="45">
        <f>G112*0.161891166</f>
      </c>
      <c r="AP112" s="45">
        <f>G112*(1-0.161891166)</f>
      </c>
      <c r="AQ112" s="47" t="s">
        <v>50</v>
      </c>
      <c r="AV112" s="45">
        <f>ROUND(AW112+AX112,2)</f>
      </c>
      <c r="AW112" s="45">
        <f>ROUND(F112*AO112,2)</f>
      </c>
      <c r="AX112" s="45">
        <f>ROUND(F112*AP112,2)</f>
      </c>
      <c r="AY112" s="47" t="s">
        <v>233</v>
      </c>
      <c r="AZ112" s="47" t="s">
        <v>234</v>
      </c>
      <c r="BA112" s="28" t="s">
        <v>57</v>
      </c>
      <c r="BC112" s="45">
        <f>AW112+AX112</f>
      </c>
      <c r="BD112" s="45">
        <f>G112/(100-BE112)*100</f>
      </c>
      <c r="BE112" s="45" t="n">
        <v>0</v>
      </c>
      <c r="BF112" s="45">
        <f>112</f>
      </c>
      <c r="BH112" s="45">
        <f>F112*AO112</f>
      </c>
      <c r="BI112" s="45">
        <f>F112*AP112</f>
      </c>
      <c r="BJ112" s="45">
        <f>F112*G112</f>
      </c>
      <c r="BK112" s="45"/>
      <c r="BL112" s="45" t="n">
        <v>59</v>
      </c>
      <c r="BW112" s="45" t="n">
        <v>21</v>
      </c>
      <c r="BX112" s="14" t="s">
        <v>232</v>
      </c>
    </row>
    <row r="113">
      <c r="A113" s="48"/>
      <c r="C113" s="49" t="s">
        <v>235</v>
      </c>
      <c r="D113" s="49" t="s">
        <v>47</v>
      </c>
      <c r="F113" s="50" t="n">
        <v>5.2</v>
      </c>
      <c r="K113" s="51"/>
    </row>
    <row r="114">
      <c r="A114" s="9" t="s">
        <v>236</v>
      </c>
      <c r="B114" s="10" t="s">
        <v>237</v>
      </c>
      <c r="C114" s="14" t="s">
        <v>238</v>
      </c>
      <c r="D114" s="10"/>
      <c r="E114" s="10" t="s">
        <v>112</v>
      </c>
      <c r="F114" s="45" t="n">
        <v>5.2</v>
      </c>
      <c r="G114" s="45" t="n">
        <v>0</v>
      </c>
      <c r="H114" s="45">
        <f>ROUND(F114*AO114,2)</f>
      </c>
      <c r="I114" s="45">
        <f>ROUND(F114*AP114,2)</f>
      </c>
      <c r="J114" s="45">
        <f>ROUND(F114*G114,2)</f>
      </c>
      <c r="K114" s="46" t="s">
        <v>54</v>
      </c>
      <c r="Z114" s="45">
        <f>ROUND(IF(AQ114="5",BJ114,0),2)</f>
      </c>
      <c r="AB114" s="45">
        <f>ROUND(IF(AQ114="1",BH114,0),2)</f>
      </c>
      <c r="AC114" s="45">
        <f>ROUND(IF(AQ114="1",BI114,0),2)</f>
      </c>
      <c r="AD114" s="45">
        <f>ROUND(IF(AQ114="7",BH114,0),2)</f>
      </c>
      <c r="AE114" s="45">
        <f>ROUND(IF(AQ114="7",BI114,0),2)</f>
      </c>
      <c r="AF114" s="45">
        <f>ROUND(IF(AQ114="2",BH114,0),2)</f>
      </c>
      <c r="AG114" s="45">
        <f>ROUND(IF(AQ114="2",BI114,0),2)</f>
      </c>
      <c r="AH114" s="45">
        <f>ROUND(IF(AQ114="0",BJ114,0),2)</f>
      </c>
      <c r="AI114" s="28" t="s">
        <v>47</v>
      </c>
      <c r="AJ114" s="45">
        <f>IF(AN114=0,J114,0)</f>
      </c>
      <c r="AK114" s="45">
        <f>IF(AN114=12,J114,0)</f>
      </c>
      <c r="AL114" s="45">
        <f>IF(AN114=21,J114,0)</f>
      </c>
      <c r="AN114" s="45" t="n">
        <v>21</v>
      </c>
      <c r="AO114" s="45">
        <f>G114*1</f>
      </c>
      <c r="AP114" s="45">
        <f>G114*(1-1)</f>
      </c>
      <c r="AQ114" s="47" t="s">
        <v>50</v>
      </c>
      <c r="AV114" s="45">
        <f>ROUND(AW114+AX114,2)</f>
      </c>
      <c r="AW114" s="45">
        <f>ROUND(F114*AO114,2)</f>
      </c>
      <c r="AX114" s="45">
        <f>ROUND(F114*AP114,2)</f>
      </c>
      <c r="AY114" s="47" t="s">
        <v>233</v>
      </c>
      <c r="AZ114" s="47" t="s">
        <v>234</v>
      </c>
      <c r="BA114" s="28" t="s">
        <v>57</v>
      </c>
      <c r="BC114" s="45">
        <f>AW114+AX114</f>
      </c>
      <c r="BD114" s="45">
        <f>G114/(100-BE114)*100</f>
      </c>
      <c r="BE114" s="45" t="n">
        <v>0</v>
      </c>
      <c r="BF114" s="45">
        <f>114</f>
      </c>
      <c r="BH114" s="45">
        <f>F114*AO114</f>
      </c>
      <c r="BI114" s="45">
        <f>F114*AP114</f>
      </c>
      <c r="BJ114" s="45">
        <f>F114*G114</f>
      </c>
      <c r="BK114" s="45"/>
      <c r="BL114" s="45" t="n">
        <v>59</v>
      </c>
      <c r="BW114" s="45" t="n">
        <v>21</v>
      </c>
      <c r="BX114" s="14" t="s">
        <v>238</v>
      </c>
    </row>
    <row r="115">
      <c r="A115" s="48"/>
      <c r="C115" s="49" t="s">
        <v>235</v>
      </c>
      <c r="D115" s="49" t="s">
        <v>47</v>
      </c>
      <c r="F115" s="50" t="n">
        <v>5.2</v>
      </c>
      <c r="K115" s="51"/>
    </row>
    <row r="116">
      <c r="A116" s="9" t="s">
        <v>239</v>
      </c>
      <c r="B116" s="10" t="s">
        <v>240</v>
      </c>
      <c r="C116" s="14" t="s">
        <v>241</v>
      </c>
      <c r="D116" s="10"/>
      <c r="E116" s="10" t="s">
        <v>112</v>
      </c>
      <c r="F116" s="45" t="n">
        <v>6</v>
      </c>
      <c r="G116" s="45" t="n">
        <v>0</v>
      </c>
      <c r="H116" s="45">
        <f>ROUND(F116*AO116,2)</f>
      </c>
      <c r="I116" s="45">
        <f>ROUND(F116*AP116,2)</f>
      </c>
      <c r="J116" s="45">
        <f>ROUND(F116*G116,2)</f>
      </c>
      <c r="K116" s="46" t="s">
        <v>54</v>
      </c>
      <c r="Z116" s="45">
        <f>ROUND(IF(AQ116="5",BJ116,0),2)</f>
      </c>
      <c r="AB116" s="45">
        <f>ROUND(IF(AQ116="1",BH116,0),2)</f>
      </c>
      <c r="AC116" s="45">
        <f>ROUND(IF(AQ116="1",BI116,0),2)</f>
      </c>
      <c r="AD116" s="45">
        <f>ROUND(IF(AQ116="7",BH116,0),2)</f>
      </c>
      <c r="AE116" s="45">
        <f>ROUND(IF(AQ116="7",BI116,0),2)</f>
      </c>
      <c r="AF116" s="45">
        <f>ROUND(IF(AQ116="2",BH116,0),2)</f>
      </c>
      <c r="AG116" s="45">
        <f>ROUND(IF(AQ116="2",BI116,0),2)</f>
      </c>
      <c r="AH116" s="45">
        <f>ROUND(IF(AQ116="0",BJ116,0),2)</f>
      </c>
      <c r="AI116" s="28" t="s">
        <v>47</v>
      </c>
      <c r="AJ116" s="45">
        <f>IF(AN116=0,J116,0)</f>
      </c>
      <c r="AK116" s="45">
        <f>IF(AN116=12,J116,0)</f>
      </c>
      <c r="AL116" s="45">
        <f>IF(AN116=21,J116,0)</f>
      </c>
      <c r="AN116" s="45" t="n">
        <v>21</v>
      </c>
      <c r="AO116" s="45">
        <f>G116*0.104623377</f>
      </c>
      <c r="AP116" s="45">
        <f>G116*(1-0.104623377)</f>
      </c>
      <c r="AQ116" s="47" t="s">
        <v>50</v>
      </c>
      <c r="AV116" s="45">
        <f>ROUND(AW116+AX116,2)</f>
      </c>
      <c r="AW116" s="45">
        <f>ROUND(F116*AO116,2)</f>
      </c>
      <c r="AX116" s="45">
        <f>ROUND(F116*AP116,2)</f>
      </c>
      <c r="AY116" s="47" t="s">
        <v>233</v>
      </c>
      <c r="AZ116" s="47" t="s">
        <v>234</v>
      </c>
      <c r="BA116" s="28" t="s">
        <v>57</v>
      </c>
      <c r="BC116" s="45">
        <f>AW116+AX116</f>
      </c>
      <c r="BD116" s="45">
        <f>G116/(100-BE116)*100</f>
      </c>
      <c r="BE116" s="45" t="n">
        <v>0</v>
      </c>
      <c r="BF116" s="45">
        <f>116</f>
      </c>
      <c r="BH116" s="45">
        <f>F116*AO116</f>
      </c>
      <c r="BI116" s="45">
        <f>F116*AP116</f>
      </c>
      <c r="BJ116" s="45">
        <f>F116*G116</f>
      </c>
      <c r="BK116" s="45"/>
      <c r="BL116" s="45" t="n">
        <v>59</v>
      </c>
      <c r="BW116" s="45" t="n">
        <v>21</v>
      </c>
      <c r="BX116" s="14" t="s">
        <v>241</v>
      </c>
    </row>
    <row r="117">
      <c r="A117" s="48"/>
      <c r="C117" s="49" t="s">
        <v>81</v>
      </c>
      <c r="D117" s="49" t="s">
        <v>47</v>
      </c>
      <c r="F117" s="50" t="n">
        <v>6</v>
      </c>
      <c r="K117" s="51"/>
    </row>
    <row r="118">
      <c r="A118" s="9" t="s">
        <v>242</v>
      </c>
      <c r="B118" s="10" t="s">
        <v>243</v>
      </c>
      <c r="C118" s="14" t="s">
        <v>244</v>
      </c>
      <c r="D118" s="10"/>
      <c r="E118" s="10" t="s">
        <v>112</v>
      </c>
      <c r="F118" s="45" t="n">
        <v>6</v>
      </c>
      <c r="G118" s="45" t="n">
        <v>0</v>
      </c>
      <c r="H118" s="45">
        <f>ROUND(F118*AO118,2)</f>
      </c>
      <c r="I118" s="45">
        <f>ROUND(F118*AP118,2)</f>
      </c>
      <c r="J118" s="45">
        <f>ROUND(F118*G118,2)</f>
      </c>
      <c r="K118" s="46" t="s">
        <v>54</v>
      </c>
      <c r="Z118" s="45">
        <f>ROUND(IF(AQ118="5",BJ118,0),2)</f>
      </c>
      <c r="AB118" s="45">
        <f>ROUND(IF(AQ118="1",BH118,0),2)</f>
      </c>
      <c r="AC118" s="45">
        <f>ROUND(IF(AQ118="1",BI118,0),2)</f>
      </c>
      <c r="AD118" s="45">
        <f>ROUND(IF(AQ118="7",BH118,0),2)</f>
      </c>
      <c r="AE118" s="45">
        <f>ROUND(IF(AQ118="7",BI118,0),2)</f>
      </c>
      <c r="AF118" s="45">
        <f>ROUND(IF(AQ118="2",BH118,0),2)</f>
      </c>
      <c r="AG118" s="45">
        <f>ROUND(IF(AQ118="2",BI118,0),2)</f>
      </c>
      <c r="AH118" s="45">
        <f>ROUND(IF(AQ118="0",BJ118,0),2)</f>
      </c>
      <c r="AI118" s="28" t="s">
        <v>47</v>
      </c>
      <c r="AJ118" s="45">
        <f>IF(AN118=0,J118,0)</f>
      </c>
      <c r="AK118" s="45">
        <f>IF(AN118=12,J118,0)</f>
      </c>
      <c r="AL118" s="45">
        <f>IF(AN118=21,J118,0)</f>
      </c>
      <c r="AN118" s="45" t="n">
        <v>21</v>
      </c>
      <c r="AO118" s="45">
        <f>G118*1</f>
      </c>
      <c r="AP118" s="45">
        <f>G118*(1-1)</f>
      </c>
      <c r="AQ118" s="47" t="s">
        <v>50</v>
      </c>
      <c r="AV118" s="45">
        <f>ROUND(AW118+AX118,2)</f>
      </c>
      <c r="AW118" s="45">
        <f>ROUND(F118*AO118,2)</f>
      </c>
      <c r="AX118" s="45">
        <f>ROUND(F118*AP118,2)</f>
      </c>
      <c r="AY118" s="47" t="s">
        <v>233</v>
      </c>
      <c r="AZ118" s="47" t="s">
        <v>234</v>
      </c>
      <c r="BA118" s="28" t="s">
        <v>57</v>
      </c>
      <c r="BC118" s="45">
        <f>AW118+AX118</f>
      </c>
      <c r="BD118" s="45">
        <f>G118/(100-BE118)*100</f>
      </c>
      <c r="BE118" s="45" t="n">
        <v>0</v>
      </c>
      <c r="BF118" s="45">
        <f>118</f>
      </c>
      <c r="BH118" s="45">
        <f>F118*AO118</f>
      </c>
      <c r="BI118" s="45">
        <f>F118*AP118</f>
      </c>
      <c r="BJ118" s="45">
        <f>F118*G118</f>
      </c>
      <c r="BK118" s="45"/>
      <c r="BL118" s="45" t="n">
        <v>59</v>
      </c>
      <c r="BW118" s="45" t="n">
        <v>21</v>
      </c>
      <c r="BX118" s="14" t="s">
        <v>244</v>
      </c>
    </row>
    <row r="119">
      <c r="A119" s="48"/>
      <c r="C119" s="49" t="s">
        <v>81</v>
      </c>
      <c r="D119" s="49" t="s">
        <v>47</v>
      </c>
      <c r="F119" s="50" t="n">
        <v>6</v>
      </c>
      <c r="K119" s="51"/>
    </row>
    <row r="120">
      <c r="A120" s="9" t="s">
        <v>245</v>
      </c>
      <c r="B120" s="10" t="s">
        <v>246</v>
      </c>
      <c r="C120" s="14" t="s">
        <v>247</v>
      </c>
      <c r="D120" s="10"/>
      <c r="E120" s="10" t="s">
        <v>112</v>
      </c>
      <c r="F120" s="45" t="n">
        <v>0.5</v>
      </c>
      <c r="G120" s="45" t="n">
        <v>0</v>
      </c>
      <c r="H120" s="45">
        <f>ROUND(F120*AO120,2)</f>
      </c>
      <c r="I120" s="45">
        <f>ROUND(F120*AP120,2)</f>
      </c>
      <c r="J120" s="45">
        <f>ROUND(F120*G120,2)</f>
      </c>
      <c r="K120" s="46" t="s">
        <v>54</v>
      </c>
      <c r="Z120" s="45">
        <f>ROUND(IF(AQ120="5",BJ120,0),2)</f>
      </c>
      <c r="AB120" s="45">
        <f>ROUND(IF(AQ120="1",BH120,0),2)</f>
      </c>
      <c r="AC120" s="45">
        <f>ROUND(IF(AQ120="1",BI120,0),2)</f>
      </c>
      <c r="AD120" s="45">
        <f>ROUND(IF(AQ120="7",BH120,0),2)</f>
      </c>
      <c r="AE120" s="45">
        <f>ROUND(IF(AQ120="7",BI120,0),2)</f>
      </c>
      <c r="AF120" s="45">
        <f>ROUND(IF(AQ120="2",BH120,0),2)</f>
      </c>
      <c r="AG120" s="45">
        <f>ROUND(IF(AQ120="2",BI120,0),2)</f>
      </c>
      <c r="AH120" s="45">
        <f>ROUND(IF(AQ120="0",BJ120,0),2)</f>
      </c>
      <c r="AI120" s="28" t="s">
        <v>47</v>
      </c>
      <c r="AJ120" s="45">
        <f>IF(AN120=0,J120,0)</f>
      </c>
      <c r="AK120" s="45">
        <f>IF(AN120=12,J120,0)</f>
      </c>
      <c r="AL120" s="45">
        <f>IF(AN120=21,J120,0)</f>
      </c>
      <c r="AN120" s="45" t="n">
        <v>21</v>
      </c>
      <c r="AO120" s="45">
        <f>G120*0.148716578</f>
      </c>
      <c r="AP120" s="45">
        <f>G120*(1-0.148716578)</f>
      </c>
      <c r="AQ120" s="47" t="s">
        <v>50</v>
      </c>
      <c r="AV120" s="45">
        <f>ROUND(AW120+AX120,2)</f>
      </c>
      <c r="AW120" s="45">
        <f>ROUND(F120*AO120,2)</f>
      </c>
      <c r="AX120" s="45">
        <f>ROUND(F120*AP120,2)</f>
      </c>
      <c r="AY120" s="47" t="s">
        <v>233</v>
      </c>
      <c r="AZ120" s="47" t="s">
        <v>234</v>
      </c>
      <c r="BA120" s="28" t="s">
        <v>57</v>
      </c>
      <c r="BC120" s="45">
        <f>AW120+AX120</f>
      </c>
      <c r="BD120" s="45">
        <f>G120/(100-BE120)*100</f>
      </c>
      <c r="BE120" s="45" t="n">
        <v>0</v>
      </c>
      <c r="BF120" s="45">
        <f>120</f>
      </c>
      <c r="BH120" s="45">
        <f>F120*AO120</f>
      </c>
      <c r="BI120" s="45">
        <f>F120*AP120</f>
      </c>
      <c r="BJ120" s="45">
        <f>F120*G120</f>
      </c>
      <c r="BK120" s="45"/>
      <c r="BL120" s="45" t="n">
        <v>59</v>
      </c>
      <c r="BW120" s="45" t="n">
        <v>21</v>
      </c>
      <c r="BX120" s="14" t="s">
        <v>247</v>
      </c>
    </row>
    <row r="121">
      <c r="A121" s="48"/>
      <c r="C121" s="49" t="s">
        <v>248</v>
      </c>
      <c r="D121" s="49" t="s">
        <v>47</v>
      </c>
      <c r="F121" s="50" t="n">
        <v>0.5</v>
      </c>
      <c r="K121" s="51"/>
    </row>
    <row r="122">
      <c r="A122" s="9" t="s">
        <v>198</v>
      </c>
      <c r="B122" s="10" t="s">
        <v>249</v>
      </c>
      <c r="C122" s="14" t="s">
        <v>250</v>
      </c>
      <c r="D122" s="10"/>
      <c r="E122" s="10" t="s">
        <v>112</v>
      </c>
      <c r="F122" s="45" t="n">
        <v>0.5</v>
      </c>
      <c r="G122" s="45" t="n">
        <v>0</v>
      </c>
      <c r="H122" s="45">
        <f>ROUND(F122*AO122,2)</f>
      </c>
      <c r="I122" s="45">
        <f>ROUND(F122*AP122,2)</f>
      </c>
      <c r="J122" s="45">
        <f>ROUND(F122*G122,2)</f>
      </c>
      <c r="K122" s="46" t="s">
        <v>54</v>
      </c>
      <c r="Z122" s="45">
        <f>ROUND(IF(AQ122="5",BJ122,0),2)</f>
      </c>
      <c r="AB122" s="45">
        <f>ROUND(IF(AQ122="1",BH122,0),2)</f>
      </c>
      <c r="AC122" s="45">
        <f>ROUND(IF(AQ122="1",BI122,0),2)</f>
      </c>
      <c r="AD122" s="45">
        <f>ROUND(IF(AQ122="7",BH122,0),2)</f>
      </c>
      <c r="AE122" s="45">
        <f>ROUND(IF(AQ122="7",BI122,0),2)</f>
      </c>
      <c r="AF122" s="45">
        <f>ROUND(IF(AQ122="2",BH122,0),2)</f>
      </c>
      <c r="AG122" s="45">
        <f>ROUND(IF(AQ122="2",BI122,0),2)</f>
      </c>
      <c r="AH122" s="45">
        <f>ROUND(IF(AQ122="0",BJ122,0),2)</f>
      </c>
      <c r="AI122" s="28" t="s">
        <v>47</v>
      </c>
      <c r="AJ122" s="45">
        <f>IF(AN122=0,J122,0)</f>
      </c>
      <c r="AK122" s="45">
        <f>IF(AN122=12,J122,0)</f>
      </c>
      <c r="AL122" s="45">
        <f>IF(AN122=21,J122,0)</f>
      </c>
      <c r="AN122" s="45" t="n">
        <v>21</v>
      </c>
      <c r="AO122" s="45">
        <f>G122*1</f>
      </c>
      <c r="AP122" s="45">
        <f>G122*(1-1)</f>
      </c>
      <c r="AQ122" s="47" t="s">
        <v>50</v>
      </c>
      <c r="AV122" s="45">
        <f>ROUND(AW122+AX122,2)</f>
      </c>
      <c r="AW122" s="45">
        <f>ROUND(F122*AO122,2)</f>
      </c>
      <c r="AX122" s="45">
        <f>ROUND(F122*AP122,2)</f>
      </c>
      <c r="AY122" s="47" t="s">
        <v>233</v>
      </c>
      <c r="AZ122" s="47" t="s">
        <v>234</v>
      </c>
      <c r="BA122" s="28" t="s">
        <v>57</v>
      </c>
      <c r="BC122" s="45">
        <f>AW122+AX122</f>
      </c>
      <c r="BD122" s="45">
        <f>G122/(100-BE122)*100</f>
      </c>
      <c r="BE122" s="45" t="n">
        <v>0</v>
      </c>
      <c r="BF122" s="45">
        <f>122</f>
      </c>
      <c r="BH122" s="45">
        <f>F122*AO122</f>
      </c>
      <c r="BI122" s="45">
        <f>F122*AP122</f>
      </c>
      <c r="BJ122" s="45">
        <f>F122*G122</f>
      </c>
      <c r="BK122" s="45"/>
      <c r="BL122" s="45" t="n">
        <v>59</v>
      </c>
      <c r="BW122" s="45" t="n">
        <v>21</v>
      </c>
      <c r="BX122" s="14" t="s">
        <v>250</v>
      </c>
    </row>
    <row r="123">
      <c r="A123" s="48"/>
      <c r="C123" s="49" t="s">
        <v>248</v>
      </c>
      <c r="D123" s="49" t="s">
        <v>47</v>
      </c>
      <c r="F123" s="50" t="n">
        <v>0.5</v>
      </c>
      <c r="K123" s="51"/>
    </row>
    <row r="124">
      <c r="A124" s="52" t="s">
        <v>47</v>
      </c>
      <c r="B124" s="53" t="s">
        <v>251</v>
      </c>
      <c r="C124" s="54" t="s">
        <v>252</v>
      </c>
      <c r="D124" s="53"/>
      <c r="E124" s="55" t="s">
        <v>4</v>
      </c>
      <c r="F124" s="55" t="s">
        <v>4</v>
      </c>
      <c r="G124" s="55" t="s">
        <v>4</v>
      </c>
      <c r="H124" s="2">
        <f>SUM(H125:H130)</f>
      </c>
      <c r="I124" s="2">
        <f>SUM(I125:I130)</f>
      </c>
      <c r="J124" s="2">
        <f>SUM(J125:J130)</f>
      </c>
      <c r="K124" s="56" t="s">
        <v>47</v>
      </c>
      <c r="AI124" s="28" t="s">
        <v>47</v>
      </c>
      <c r="AS124" s="2">
        <f>SUM(AJ125:AJ130)</f>
      </c>
      <c r="AT124" s="2">
        <f>SUM(AK125:AK130)</f>
      </c>
      <c r="AU124" s="2">
        <f>SUM(AL125:AL130)</f>
      </c>
    </row>
    <row r="125">
      <c r="A125" s="9" t="s">
        <v>253</v>
      </c>
      <c r="B125" s="10" t="s">
        <v>254</v>
      </c>
      <c r="C125" s="14" t="s">
        <v>255</v>
      </c>
      <c r="D125" s="10"/>
      <c r="E125" s="10" t="s">
        <v>112</v>
      </c>
      <c r="F125" s="45" t="n">
        <v>51.5825</v>
      </c>
      <c r="G125" s="45" t="n">
        <v>0</v>
      </c>
      <c r="H125" s="45">
        <f>ROUND(F125*AO125,2)</f>
      </c>
      <c r="I125" s="45">
        <f>ROUND(F125*AP125,2)</f>
      </c>
      <c r="J125" s="45">
        <f>ROUND(F125*G125,2)</f>
      </c>
      <c r="K125" s="46" t="s">
        <v>54</v>
      </c>
      <c r="Z125" s="45">
        <f>ROUND(IF(AQ125="5",BJ125,0),2)</f>
      </c>
      <c r="AB125" s="45">
        <f>ROUND(IF(AQ125="1",BH125,0),2)</f>
      </c>
      <c r="AC125" s="45">
        <f>ROUND(IF(AQ125="1",BI125,0),2)</f>
      </c>
      <c r="AD125" s="45">
        <f>ROUND(IF(AQ125="7",BH125,0),2)</f>
      </c>
      <c r="AE125" s="45">
        <f>ROUND(IF(AQ125="7",BI125,0),2)</f>
      </c>
      <c r="AF125" s="45">
        <f>ROUND(IF(AQ125="2",BH125,0),2)</f>
      </c>
      <c r="AG125" s="45">
        <f>ROUND(IF(AQ125="2",BI125,0),2)</f>
      </c>
      <c r="AH125" s="45">
        <f>ROUND(IF(AQ125="0",BJ125,0),2)</f>
      </c>
      <c r="AI125" s="28" t="s">
        <v>47</v>
      </c>
      <c r="AJ125" s="45">
        <f>IF(AN125=0,J125,0)</f>
      </c>
      <c r="AK125" s="45">
        <f>IF(AN125=12,J125,0)</f>
      </c>
      <c r="AL125" s="45">
        <f>IF(AN125=21,J125,0)</f>
      </c>
      <c r="AN125" s="45" t="n">
        <v>21</v>
      </c>
      <c r="AO125" s="45">
        <f>G125*0.109146201</f>
      </c>
      <c r="AP125" s="45">
        <f>G125*(1-0.109146201)</f>
      </c>
      <c r="AQ125" s="47" t="s">
        <v>50</v>
      </c>
      <c r="AV125" s="45">
        <f>ROUND(AW125+AX125,2)</f>
      </c>
      <c r="AW125" s="45">
        <f>ROUND(F125*AO125,2)</f>
      </c>
      <c r="AX125" s="45">
        <f>ROUND(F125*AP125,2)</f>
      </c>
      <c r="AY125" s="47" t="s">
        <v>256</v>
      </c>
      <c r="AZ125" s="47" t="s">
        <v>257</v>
      </c>
      <c r="BA125" s="28" t="s">
        <v>57</v>
      </c>
      <c r="BC125" s="45">
        <f>AW125+AX125</f>
      </c>
      <c r="BD125" s="45">
        <f>G125/(100-BE125)*100</f>
      </c>
      <c r="BE125" s="45" t="n">
        <v>0</v>
      </c>
      <c r="BF125" s="45">
        <f>125</f>
      </c>
      <c r="BH125" s="45">
        <f>F125*AO125</f>
      </c>
      <c r="BI125" s="45">
        <f>F125*AP125</f>
      </c>
      <c r="BJ125" s="45">
        <f>F125*G125</f>
      </c>
      <c r="BK125" s="45"/>
      <c r="BL125" s="45" t="n">
        <v>61</v>
      </c>
      <c r="BW125" s="45" t="n">
        <v>21</v>
      </c>
      <c r="BX125" s="14" t="s">
        <v>255</v>
      </c>
    </row>
    <row r="126">
      <c r="A126" s="48"/>
      <c r="C126" s="49" t="s">
        <v>258</v>
      </c>
      <c r="D126" s="49" t="s">
        <v>47</v>
      </c>
      <c r="F126" s="50" t="n">
        <v>60</v>
      </c>
      <c r="K126" s="51"/>
    </row>
    <row r="127">
      <c r="A127" s="48"/>
      <c r="C127" s="49" t="s">
        <v>163</v>
      </c>
      <c r="D127" s="49" t="s">
        <v>47</v>
      </c>
      <c r="F127" s="50" t="n">
        <v>-5.59</v>
      </c>
      <c r="K127" s="51"/>
    </row>
    <row r="128">
      <c r="A128" s="48"/>
      <c r="C128" s="49" t="s">
        <v>165</v>
      </c>
      <c r="D128" s="49" t="s">
        <v>47</v>
      </c>
      <c r="F128" s="50" t="n">
        <v>-0.9375</v>
      </c>
      <c r="K128" s="51"/>
    </row>
    <row r="129">
      <c r="A129" s="48"/>
      <c r="C129" s="49" t="s">
        <v>259</v>
      </c>
      <c r="D129" s="49" t="s">
        <v>47</v>
      </c>
      <c r="F129" s="50" t="n">
        <v>-1.89</v>
      </c>
      <c r="K129" s="51"/>
    </row>
    <row r="130">
      <c r="A130" s="9" t="s">
        <v>260</v>
      </c>
      <c r="B130" s="10" t="s">
        <v>261</v>
      </c>
      <c r="C130" s="14" t="s">
        <v>262</v>
      </c>
      <c r="D130" s="10"/>
      <c r="E130" s="10" t="s">
        <v>112</v>
      </c>
      <c r="F130" s="45" t="n">
        <v>1.1775</v>
      </c>
      <c r="G130" s="45" t="n">
        <v>0</v>
      </c>
      <c r="H130" s="45">
        <f>ROUND(F130*AO130,2)</f>
      </c>
      <c r="I130" s="45">
        <f>ROUND(F130*AP130,2)</f>
      </c>
      <c r="J130" s="45">
        <f>ROUND(F130*G130,2)</f>
      </c>
      <c r="K130" s="46" t="s">
        <v>54</v>
      </c>
      <c r="Z130" s="45">
        <f>ROUND(IF(AQ130="5",BJ130,0),2)</f>
      </c>
      <c r="AB130" s="45">
        <f>ROUND(IF(AQ130="1",BH130,0),2)</f>
      </c>
      <c r="AC130" s="45">
        <f>ROUND(IF(AQ130="1",BI130,0),2)</f>
      </c>
      <c r="AD130" s="45">
        <f>ROUND(IF(AQ130="7",BH130,0),2)</f>
      </c>
      <c r="AE130" s="45">
        <f>ROUND(IF(AQ130="7",BI130,0),2)</f>
      </c>
      <c r="AF130" s="45">
        <f>ROUND(IF(AQ130="2",BH130,0),2)</f>
      </c>
      <c r="AG130" s="45">
        <f>ROUND(IF(AQ130="2",BI130,0),2)</f>
      </c>
      <c r="AH130" s="45">
        <f>ROUND(IF(AQ130="0",BJ130,0),2)</f>
      </c>
      <c r="AI130" s="28" t="s">
        <v>47</v>
      </c>
      <c r="AJ130" s="45">
        <f>IF(AN130=0,J130,0)</f>
      </c>
      <c r="AK130" s="45">
        <f>IF(AN130=12,J130,0)</f>
      </c>
      <c r="AL130" s="45">
        <f>IF(AN130=21,J130,0)</f>
      </c>
      <c r="AN130" s="45" t="n">
        <v>21</v>
      </c>
      <c r="AO130" s="45">
        <f>G130*0.138645659</f>
      </c>
      <c r="AP130" s="45">
        <f>G130*(1-0.138645659)</f>
      </c>
      <c r="AQ130" s="47" t="s">
        <v>50</v>
      </c>
      <c r="AV130" s="45">
        <f>ROUND(AW130+AX130,2)</f>
      </c>
      <c r="AW130" s="45">
        <f>ROUND(F130*AO130,2)</f>
      </c>
      <c r="AX130" s="45">
        <f>ROUND(F130*AP130,2)</f>
      </c>
      <c r="AY130" s="47" t="s">
        <v>256</v>
      </c>
      <c r="AZ130" s="47" t="s">
        <v>257</v>
      </c>
      <c r="BA130" s="28" t="s">
        <v>57</v>
      </c>
      <c r="BC130" s="45">
        <f>AW130+AX130</f>
      </c>
      <c r="BD130" s="45">
        <f>G130/(100-BE130)*100</f>
      </c>
      <c r="BE130" s="45" t="n">
        <v>0</v>
      </c>
      <c r="BF130" s="45">
        <f>130</f>
      </c>
      <c r="BH130" s="45">
        <f>F130*AO130</f>
      </c>
      <c r="BI130" s="45">
        <f>F130*AP130</f>
      </c>
      <c r="BJ130" s="45">
        <f>F130*G130</f>
      </c>
      <c r="BK130" s="45"/>
      <c r="BL130" s="45" t="n">
        <v>61</v>
      </c>
      <c r="BW130" s="45" t="n">
        <v>21</v>
      </c>
      <c r="BX130" s="14" t="s">
        <v>262</v>
      </c>
    </row>
    <row r="131">
      <c r="A131" s="48"/>
      <c r="C131" s="49" t="s">
        <v>263</v>
      </c>
      <c r="D131" s="49" t="s">
        <v>47</v>
      </c>
      <c r="F131" s="50" t="n">
        <v>0.4125</v>
      </c>
      <c r="K131" s="51"/>
    </row>
    <row r="132">
      <c r="A132" s="48"/>
      <c r="C132" s="49" t="s">
        <v>264</v>
      </c>
      <c r="D132" s="49" t="s">
        <v>47</v>
      </c>
      <c r="F132" s="50" t="n">
        <v>0.765</v>
      </c>
      <c r="K132" s="51"/>
    </row>
    <row r="133">
      <c r="A133" s="52" t="s">
        <v>47</v>
      </c>
      <c r="B133" s="53" t="s">
        <v>265</v>
      </c>
      <c r="C133" s="54" t="s">
        <v>266</v>
      </c>
      <c r="D133" s="53"/>
      <c r="E133" s="55" t="s">
        <v>4</v>
      </c>
      <c r="F133" s="55" t="s">
        <v>4</v>
      </c>
      <c r="G133" s="55" t="s">
        <v>4</v>
      </c>
      <c r="H133" s="2">
        <f>SUM(H134:H134)</f>
      </c>
      <c r="I133" s="2">
        <f>SUM(I134:I134)</f>
      </c>
      <c r="J133" s="2">
        <f>SUM(J134:J134)</f>
      </c>
      <c r="K133" s="56" t="s">
        <v>47</v>
      </c>
      <c r="AI133" s="28" t="s">
        <v>47</v>
      </c>
      <c r="AS133" s="2">
        <f>SUM(AJ134:AJ134)</f>
      </c>
      <c r="AT133" s="2">
        <f>SUM(AK134:AK134)</f>
      </c>
      <c r="AU133" s="2">
        <f>SUM(AL134:AL134)</f>
      </c>
    </row>
    <row r="134">
      <c r="A134" s="9" t="s">
        <v>267</v>
      </c>
      <c r="B134" s="10" t="s">
        <v>268</v>
      </c>
      <c r="C134" s="14" t="s">
        <v>269</v>
      </c>
      <c r="D134" s="10"/>
      <c r="E134" s="10" t="s">
        <v>112</v>
      </c>
      <c r="F134" s="45" t="n">
        <v>71.3425</v>
      </c>
      <c r="G134" s="45" t="n">
        <v>0</v>
      </c>
      <c r="H134" s="45">
        <f>ROUND(F134*AO134,2)</f>
      </c>
      <c r="I134" s="45">
        <f>ROUND(F134*AP134,2)</f>
      </c>
      <c r="J134" s="45">
        <f>ROUND(F134*G134,2)</f>
      </c>
      <c r="K134" s="46" t="s">
        <v>54</v>
      </c>
      <c r="Z134" s="45">
        <f>ROUND(IF(AQ134="5",BJ134,0),2)</f>
      </c>
      <c r="AB134" s="45">
        <f>ROUND(IF(AQ134="1",BH134,0),2)</f>
      </c>
      <c r="AC134" s="45">
        <f>ROUND(IF(AQ134="1",BI134,0),2)</f>
      </c>
      <c r="AD134" s="45">
        <f>ROUND(IF(AQ134="7",BH134,0),2)</f>
      </c>
      <c r="AE134" s="45">
        <f>ROUND(IF(AQ134="7",BI134,0),2)</f>
      </c>
      <c r="AF134" s="45">
        <f>ROUND(IF(AQ134="2",BH134,0),2)</f>
      </c>
      <c r="AG134" s="45">
        <f>ROUND(IF(AQ134="2",BI134,0),2)</f>
      </c>
      <c r="AH134" s="45">
        <f>ROUND(IF(AQ134="0",BJ134,0),2)</f>
      </c>
      <c r="AI134" s="28" t="s">
        <v>47</v>
      </c>
      <c r="AJ134" s="45">
        <f>IF(AN134=0,J134,0)</f>
      </c>
      <c r="AK134" s="45">
        <f>IF(AN134=12,J134,0)</f>
      </c>
      <c r="AL134" s="45">
        <f>IF(AN134=21,J134,0)</f>
      </c>
      <c r="AN134" s="45" t="n">
        <v>21</v>
      </c>
      <c r="AO134" s="45">
        <f>G134*0.09457003</f>
      </c>
      <c r="AP134" s="45">
        <f>G134*(1-0.09457003)</f>
      </c>
      <c r="AQ134" s="47" t="s">
        <v>50</v>
      </c>
      <c r="AV134" s="45">
        <f>ROUND(AW134+AX134,2)</f>
      </c>
      <c r="AW134" s="45">
        <f>ROUND(F134*AO134,2)</f>
      </c>
      <c r="AX134" s="45">
        <f>ROUND(F134*AP134,2)</f>
      </c>
      <c r="AY134" s="47" t="s">
        <v>270</v>
      </c>
      <c r="AZ134" s="47" t="s">
        <v>257</v>
      </c>
      <c r="BA134" s="28" t="s">
        <v>57</v>
      </c>
      <c r="BC134" s="45">
        <f>AW134+AX134</f>
      </c>
      <c r="BD134" s="45">
        <f>G134/(100-BE134)*100</f>
      </c>
      <c r="BE134" s="45" t="n">
        <v>0</v>
      </c>
      <c r="BF134" s="45">
        <f>134</f>
      </c>
      <c r="BH134" s="45">
        <f>F134*AO134</f>
      </c>
      <c r="BI134" s="45">
        <f>F134*AP134</f>
      </c>
      <c r="BJ134" s="45">
        <f>F134*G134</f>
      </c>
      <c r="BK134" s="45"/>
      <c r="BL134" s="45" t="n">
        <v>62</v>
      </c>
      <c r="BW134" s="45" t="n">
        <v>21</v>
      </c>
      <c r="BX134" s="14" t="s">
        <v>269</v>
      </c>
    </row>
    <row r="135">
      <c r="A135" s="48"/>
      <c r="C135" s="49" t="s">
        <v>271</v>
      </c>
      <c r="D135" s="49" t="s">
        <v>47</v>
      </c>
      <c r="F135" s="50" t="n">
        <v>63.89</v>
      </c>
      <c r="K135" s="51"/>
    </row>
    <row r="136">
      <c r="A136" s="48"/>
      <c r="C136" s="49" t="s">
        <v>272</v>
      </c>
      <c r="D136" s="49" t="s">
        <v>273</v>
      </c>
      <c r="F136" s="50" t="n">
        <v>13.98</v>
      </c>
      <c r="K136" s="51"/>
    </row>
    <row r="137">
      <c r="A137" s="48"/>
      <c r="C137" s="49" t="s">
        <v>163</v>
      </c>
      <c r="D137" s="49" t="s">
        <v>47</v>
      </c>
      <c r="F137" s="50" t="n">
        <v>-5.59</v>
      </c>
      <c r="K137" s="51"/>
    </row>
    <row r="138">
      <c r="A138" s="48"/>
      <c r="C138" s="49" t="s">
        <v>165</v>
      </c>
      <c r="D138" s="49" t="s">
        <v>47</v>
      </c>
      <c r="F138" s="50" t="n">
        <v>-0.9375</v>
      </c>
      <c r="K138" s="51"/>
    </row>
    <row r="139">
      <c r="A139" s="52" t="s">
        <v>47</v>
      </c>
      <c r="B139" s="53" t="s">
        <v>274</v>
      </c>
      <c r="C139" s="54" t="s">
        <v>275</v>
      </c>
      <c r="D139" s="53"/>
      <c r="E139" s="55" t="s">
        <v>4</v>
      </c>
      <c r="F139" s="55" t="s">
        <v>4</v>
      </c>
      <c r="G139" s="55" t="s">
        <v>4</v>
      </c>
      <c r="H139" s="2">
        <f>SUM(H140:H142)</f>
      </c>
      <c r="I139" s="2">
        <f>SUM(I140:I142)</f>
      </c>
      <c r="J139" s="2">
        <f>SUM(J140:J142)</f>
      </c>
      <c r="K139" s="56" t="s">
        <v>47</v>
      </c>
      <c r="AI139" s="28" t="s">
        <v>47</v>
      </c>
      <c r="AS139" s="2">
        <f>SUM(AJ140:AJ142)</f>
      </c>
      <c r="AT139" s="2">
        <f>SUM(AK140:AK142)</f>
      </c>
      <c r="AU139" s="2">
        <f>SUM(AL140:AL142)</f>
      </c>
    </row>
    <row r="140">
      <c r="A140" s="9" t="s">
        <v>276</v>
      </c>
      <c r="B140" s="10" t="s">
        <v>277</v>
      </c>
      <c r="C140" s="14" t="s">
        <v>278</v>
      </c>
      <c r="D140" s="10"/>
      <c r="E140" s="10" t="s">
        <v>112</v>
      </c>
      <c r="F140" s="45" t="n">
        <v>38.76</v>
      </c>
      <c r="G140" s="45" t="n">
        <v>0</v>
      </c>
      <c r="H140" s="45">
        <f>ROUND(F140*AO140,2)</f>
      </c>
      <c r="I140" s="45">
        <f>ROUND(F140*AP140,2)</f>
      </c>
      <c r="J140" s="45">
        <f>ROUND(F140*G140,2)</f>
      </c>
      <c r="K140" s="46" t="s">
        <v>54</v>
      </c>
      <c r="Z140" s="45">
        <f>ROUND(IF(AQ140="5",BJ140,0),2)</f>
      </c>
      <c r="AB140" s="45">
        <f>ROUND(IF(AQ140="1",BH140,0),2)</f>
      </c>
      <c r="AC140" s="45">
        <f>ROUND(IF(AQ140="1",BI140,0),2)</f>
      </c>
      <c r="AD140" s="45">
        <f>ROUND(IF(AQ140="7",BH140,0),2)</f>
      </c>
      <c r="AE140" s="45">
        <f>ROUND(IF(AQ140="7",BI140,0),2)</f>
      </c>
      <c r="AF140" s="45">
        <f>ROUND(IF(AQ140="2",BH140,0),2)</f>
      </c>
      <c r="AG140" s="45">
        <f>ROUND(IF(AQ140="2",BI140,0),2)</f>
      </c>
      <c r="AH140" s="45">
        <f>ROUND(IF(AQ140="0",BJ140,0),2)</f>
      </c>
      <c r="AI140" s="28" t="s">
        <v>47</v>
      </c>
      <c r="AJ140" s="45">
        <f>IF(AN140=0,J140,0)</f>
      </c>
      <c r="AK140" s="45">
        <f>IF(AN140=12,J140,0)</f>
      </c>
      <c r="AL140" s="45">
        <f>IF(AN140=21,J140,0)</f>
      </c>
      <c r="AN140" s="45" t="n">
        <v>21</v>
      </c>
      <c r="AO140" s="45">
        <f>G140*0.834276287</f>
      </c>
      <c r="AP140" s="45">
        <f>G140*(1-0.834276287)</f>
      </c>
      <c r="AQ140" s="47" t="s">
        <v>50</v>
      </c>
      <c r="AV140" s="45">
        <f>ROUND(AW140+AX140,2)</f>
      </c>
      <c r="AW140" s="45">
        <f>ROUND(F140*AO140,2)</f>
      </c>
      <c r="AX140" s="45">
        <f>ROUND(F140*AP140,2)</f>
      </c>
      <c r="AY140" s="47" t="s">
        <v>279</v>
      </c>
      <c r="AZ140" s="47" t="s">
        <v>257</v>
      </c>
      <c r="BA140" s="28" t="s">
        <v>57</v>
      </c>
      <c r="BC140" s="45">
        <f>AW140+AX140</f>
      </c>
      <c r="BD140" s="45">
        <f>G140/(100-BE140)*100</f>
      </c>
      <c r="BE140" s="45" t="n">
        <v>0</v>
      </c>
      <c r="BF140" s="45">
        <f>140</f>
      </c>
      <c r="BH140" s="45">
        <f>F140*AO140</f>
      </c>
      <c r="BI140" s="45">
        <f>F140*AP140</f>
      </c>
      <c r="BJ140" s="45">
        <f>F140*G140</f>
      </c>
      <c r="BK140" s="45"/>
      <c r="BL140" s="45" t="n">
        <v>63</v>
      </c>
      <c r="BW140" s="45" t="n">
        <v>21</v>
      </c>
      <c r="BX140" s="14" t="s">
        <v>278</v>
      </c>
    </row>
    <row r="141">
      <c r="A141" s="48"/>
      <c r="C141" s="49" t="s">
        <v>227</v>
      </c>
      <c r="D141" s="49" t="s">
        <v>47</v>
      </c>
      <c r="F141" s="50" t="n">
        <v>38.76</v>
      </c>
      <c r="K141" s="51"/>
    </row>
    <row r="142">
      <c r="A142" s="9" t="s">
        <v>280</v>
      </c>
      <c r="B142" s="10" t="s">
        <v>281</v>
      </c>
      <c r="C142" s="14" t="s">
        <v>282</v>
      </c>
      <c r="D142" s="10"/>
      <c r="E142" s="10" t="s">
        <v>112</v>
      </c>
      <c r="F142" s="45" t="n">
        <v>38.76</v>
      </c>
      <c r="G142" s="45" t="n">
        <v>0</v>
      </c>
      <c r="H142" s="45">
        <f>ROUND(F142*AO142,2)</f>
      </c>
      <c r="I142" s="45">
        <f>ROUND(F142*AP142,2)</f>
      </c>
      <c r="J142" s="45">
        <f>ROUND(F142*G142,2)</f>
      </c>
      <c r="K142" s="46" t="s">
        <v>54</v>
      </c>
      <c r="Z142" s="45">
        <f>ROUND(IF(AQ142="5",BJ142,0),2)</f>
      </c>
      <c r="AB142" s="45">
        <f>ROUND(IF(AQ142="1",BH142,0),2)</f>
      </c>
      <c r="AC142" s="45">
        <f>ROUND(IF(AQ142="1",BI142,0),2)</f>
      </c>
      <c r="AD142" s="45">
        <f>ROUND(IF(AQ142="7",BH142,0),2)</f>
      </c>
      <c r="AE142" s="45">
        <f>ROUND(IF(AQ142="7",BI142,0),2)</f>
      </c>
      <c r="AF142" s="45">
        <f>ROUND(IF(AQ142="2",BH142,0),2)</f>
      </c>
      <c r="AG142" s="45">
        <f>ROUND(IF(AQ142="2",BI142,0),2)</f>
      </c>
      <c r="AH142" s="45">
        <f>ROUND(IF(AQ142="0",BJ142,0),2)</f>
      </c>
      <c r="AI142" s="28" t="s">
        <v>47</v>
      </c>
      <c r="AJ142" s="45">
        <f>IF(AN142=0,J142,0)</f>
      </c>
      <c r="AK142" s="45">
        <f>IF(AN142=12,J142,0)</f>
      </c>
      <c r="AL142" s="45">
        <f>IF(AN142=21,J142,0)</f>
      </c>
      <c r="AN142" s="45" t="n">
        <v>21</v>
      </c>
      <c r="AO142" s="45">
        <f>G142*0.625484923</f>
      </c>
      <c r="AP142" s="45">
        <f>G142*(1-0.625484923)</f>
      </c>
      <c r="AQ142" s="47" t="s">
        <v>50</v>
      </c>
      <c r="AV142" s="45">
        <f>ROUND(AW142+AX142,2)</f>
      </c>
      <c r="AW142" s="45">
        <f>ROUND(F142*AO142,2)</f>
      </c>
      <c r="AX142" s="45">
        <f>ROUND(F142*AP142,2)</f>
      </c>
      <c r="AY142" s="47" t="s">
        <v>279</v>
      </c>
      <c r="AZ142" s="47" t="s">
        <v>257</v>
      </c>
      <c r="BA142" s="28" t="s">
        <v>57</v>
      </c>
      <c r="BC142" s="45">
        <f>AW142+AX142</f>
      </c>
      <c r="BD142" s="45">
        <f>G142/(100-BE142)*100</f>
      </c>
      <c r="BE142" s="45" t="n">
        <v>0</v>
      </c>
      <c r="BF142" s="45">
        <f>142</f>
      </c>
      <c r="BH142" s="45">
        <f>F142*AO142</f>
      </c>
      <c r="BI142" s="45">
        <f>F142*AP142</f>
      </c>
      <c r="BJ142" s="45">
        <f>F142*G142</f>
      </c>
      <c r="BK142" s="45"/>
      <c r="BL142" s="45" t="n">
        <v>63</v>
      </c>
      <c r="BW142" s="45" t="n">
        <v>21</v>
      </c>
      <c r="BX142" s="14" t="s">
        <v>282</v>
      </c>
    </row>
    <row r="143">
      <c r="A143" s="48"/>
      <c r="C143" s="49" t="s">
        <v>227</v>
      </c>
      <c r="D143" s="49" t="s">
        <v>47</v>
      </c>
      <c r="F143" s="50" t="n">
        <v>38.76</v>
      </c>
      <c r="K143" s="51"/>
    </row>
    <row r="144">
      <c r="A144" s="52" t="s">
        <v>47</v>
      </c>
      <c r="B144" s="53" t="s">
        <v>283</v>
      </c>
      <c r="C144" s="54" t="s">
        <v>284</v>
      </c>
      <c r="D144" s="53"/>
      <c r="E144" s="55" t="s">
        <v>4</v>
      </c>
      <c r="F144" s="55" t="s">
        <v>4</v>
      </c>
      <c r="G144" s="55" t="s">
        <v>4</v>
      </c>
      <c r="H144" s="2">
        <f>SUM(H145:H166)</f>
      </c>
      <c r="I144" s="2">
        <f>SUM(I145:I166)</f>
      </c>
      <c r="J144" s="2">
        <f>SUM(J145:J166)</f>
      </c>
      <c r="K144" s="56" t="s">
        <v>47</v>
      </c>
      <c r="AI144" s="28" t="s">
        <v>47</v>
      </c>
      <c r="AS144" s="2">
        <f>SUM(AJ145:AJ166)</f>
      </c>
      <c r="AT144" s="2">
        <f>SUM(AK145:AK166)</f>
      </c>
      <c r="AU144" s="2">
        <f>SUM(AL145:AL166)</f>
      </c>
    </row>
    <row r="145">
      <c r="A145" s="9" t="s">
        <v>285</v>
      </c>
      <c r="B145" s="10" t="s">
        <v>286</v>
      </c>
      <c r="C145" s="14" t="s">
        <v>287</v>
      </c>
      <c r="D145" s="10"/>
      <c r="E145" s="10" t="s">
        <v>112</v>
      </c>
      <c r="F145" s="45" t="n">
        <v>46.62</v>
      </c>
      <c r="G145" s="45" t="n">
        <v>0</v>
      </c>
      <c r="H145" s="45">
        <f>ROUND(F145*AO145,2)</f>
      </c>
      <c r="I145" s="45">
        <f>ROUND(F145*AP145,2)</f>
      </c>
      <c r="J145" s="45">
        <f>ROUND(F145*G145,2)</f>
      </c>
      <c r="K145" s="46" t="s">
        <v>54</v>
      </c>
      <c r="Z145" s="45">
        <f>ROUND(IF(AQ145="5",BJ145,0),2)</f>
      </c>
      <c r="AB145" s="45">
        <f>ROUND(IF(AQ145="1",BH145,0),2)</f>
      </c>
      <c r="AC145" s="45">
        <f>ROUND(IF(AQ145="1",BI145,0),2)</f>
      </c>
      <c r="AD145" s="45">
        <f>ROUND(IF(AQ145="7",BH145,0),2)</f>
      </c>
      <c r="AE145" s="45">
        <f>ROUND(IF(AQ145="7",BI145,0),2)</f>
      </c>
      <c r="AF145" s="45">
        <f>ROUND(IF(AQ145="2",BH145,0),2)</f>
      </c>
      <c r="AG145" s="45">
        <f>ROUND(IF(AQ145="2",BI145,0),2)</f>
      </c>
      <c r="AH145" s="45">
        <f>ROUND(IF(AQ145="0",BJ145,0),2)</f>
      </c>
      <c r="AI145" s="28" t="s">
        <v>47</v>
      </c>
      <c r="AJ145" s="45">
        <f>IF(AN145=0,J145,0)</f>
      </c>
      <c r="AK145" s="45">
        <f>IF(AN145=12,J145,0)</f>
      </c>
      <c r="AL145" s="45">
        <f>IF(AN145=21,J145,0)</f>
      </c>
      <c r="AN145" s="45" t="n">
        <v>21</v>
      </c>
      <c r="AO145" s="45">
        <f>G145*0.718627954</f>
      </c>
      <c r="AP145" s="45">
        <f>G145*(1-0.718627954)</f>
      </c>
      <c r="AQ145" s="47" t="s">
        <v>88</v>
      </c>
      <c r="AV145" s="45">
        <f>ROUND(AW145+AX145,2)</f>
      </c>
      <c r="AW145" s="45">
        <f>ROUND(F145*AO145,2)</f>
      </c>
      <c r="AX145" s="45">
        <f>ROUND(F145*AP145,2)</f>
      </c>
      <c r="AY145" s="47" t="s">
        <v>288</v>
      </c>
      <c r="AZ145" s="47" t="s">
        <v>289</v>
      </c>
      <c r="BA145" s="28" t="s">
        <v>57</v>
      </c>
      <c r="BC145" s="45">
        <f>AW145+AX145</f>
      </c>
      <c r="BD145" s="45">
        <f>G145/(100-BE145)*100</f>
      </c>
      <c r="BE145" s="45" t="n">
        <v>0</v>
      </c>
      <c r="BF145" s="45">
        <f>145</f>
      </c>
      <c r="BH145" s="45">
        <f>F145*AO145</f>
      </c>
      <c r="BI145" s="45">
        <f>F145*AP145</f>
      </c>
      <c r="BJ145" s="45">
        <f>F145*G145</f>
      </c>
      <c r="BK145" s="45"/>
      <c r="BL145" s="45" t="n">
        <v>711</v>
      </c>
      <c r="BW145" s="45" t="n">
        <v>21</v>
      </c>
      <c r="BX145" s="14" t="s">
        <v>287</v>
      </c>
    </row>
    <row r="146" customHeight="true" ht="13.5">
      <c r="A146" s="48"/>
      <c r="B146" s="57" t="s">
        <v>92</v>
      </c>
      <c r="C146" s="58" t="s">
        <v>290</v>
      </c>
      <c r="D146" s="49"/>
      <c r="E146" s="49"/>
      <c r="F146" s="49"/>
      <c r="G146" s="49"/>
      <c r="H146" s="49"/>
      <c r="I146" s="49"/>
      <c r="J146" s="49"/>
      <c r="K146" s="59"/>
    </row>
    <row r="147">
      <c r="A147" s="48"/>
      <c r="C147" s="49" t="s">
        <v>291</v>
      </c>
      <c r="D147" s="49" t="s">
        <v>47</v>
      </c>
      <c r="F147" s="50" t="n">
        <v>46.62</v>
      </c>
      <c r="K147" s="51"/>
    </row>
    <row r="148">
      <c r="A148" s="9" t="s">
        <v>292</v>
      </c>
      <c r="B148" s="10" t="s">
        <v>293</v>
      </c>
      <c r="C148" s="14" t="s">
        <v>294</v>
      </c>
      <c r="D148" s="10"/>
      <c r="E148" s="10" t="s">
        <v>112</v>
      </c>
      <c r="F148" s="45" t="n">
        <v>46.62</v>
      </c>
      <c r="G148" s="45" t="n">
        <v>0</v>
      </c>
      <c r="H148" s="45">
        <f>ROUND(F148*AO148,2)</f>
      </c>
      <c r="I148" s="45">
        <f>ROUND(F148*AP148,2)</f>
      </c>
      <c r="J148" s="45">
        <f>ROUND(F148*G148,2)</f>
      </c>
      <c r="K148" s="46" t="s">
        <v>54</v>
      </c>
      <c r="Z148" s="45">
        <f>ROUND(IF(AQ148="5",BJ148,0),2)</f>
      </c>
      <c r="AB148" s="45">
        <f>ROUND(IF(AQ148="1",BH148,0),2)</f>
      </c>
      <c r="AC148" s="45">
        <f>ROUND(IF(AQ148="1",BI148,0),2)</f>
      </c>
      <c r="AD148" s="45">
        <f>ROUND(IF(AQ148="7",BH148,0),2)</f>
      </c>
      <c r="AE148" s="45">
        <f>ROUND(IF(AQ148="7",BI148,0),2)</f>
      </c>
      <c r="AF148" s="45">
        <f>ROUND(IF(AQ148="2",BH148,0),2)</f>
      </c>
      <c r="AG148" s="45">
        <f>ROUND(IF(AQ148="2",BI148,0),2)</f>
      </c>
      <c r="AH148" s="45">
        <f>ROUND(IF(AQ148="0",BJ148,0),2)</f>
      </c>
      <c r="AI148" s="28" t="s">
        <v>47</v>
      </c>
      <c r="AJ148" s="45">
        <f>IF(AN148=0,J148,0)</f>
      </c>
      <c r="AK148" s="45">
        <f>IF(AN148=12,J148,0)</f>
      </c>
      <c r="AL148" s="45">
        <f>IF(AN148=21,J148,0)</f>
      </c>
      <c r="AN148" s="45" t="n">
        <v>21</v>
      </c>
      <c r="AO148" s="45">
        <f>G148*0.070883956</f>
      </c>
      <c r="AP148" s="45">
        <f>G148*(1-0.070883956)</f>
      </c>
      <c r="AQ148" s="47" t="s">
        <v>88</v>
      </c>
      <c r="AV148" s="45">
        <f>ROUND(AW148+AX148,2)</f>
      </c>
      <c r="AW148" s="45">
        <f>ROUND(F148*AO148,2)</f>
      </c>
      <c r="AX148" s="45">
        <f>ROUND(F148*AP148,2)</f>
      </c>
      <c r="AY148" s="47" t="s">
        <v>288</v>
      </c>
      <c r="AZ148" s="47" t="s">
        <v>289</v>
      </c>
      <c r="BA148" s="28" t="s">
        <v>57</v>
      </c>
      <c r="BC148" s="45">
        <f>AW148+AX148</f>
      </c>
      <c r="BD148" s="45">
        <f>G148/(100-BE148)*100</f>
      </c>
      <c r="BE148" s="45" t="n">
        <v>0</v>
      </c>
      <c r="BF148" s="45">
        <f>148</f>
      </c>
      <c r="BH148" s="45">
        <f>F148*AO148</f>
      </c>
      <c r="BI148" s="45">
        <f>F148*AP148</f>
      </c>
      <c r="BJ148" s="45">
        <f>F148*G148</f>
      </c>
      <c r="BK148" s="45"/>
      <c r="BL148" s="45" t="n">
        <v>711</v>
      </c>
      <c r="BW148" s="45" t="n">
        <v>21</v>
      </c>
      <c r="BX148" s="14" t="s">
        <v>294</v>
      </c>
    </row>
    <row r="149" customHeight="true" ht="13.5">
      <c r="A149" s="48"/>
      <c r="B149" s="57" t="s">
        <v>92</v>
      </c>
      <c r="C149" s="58" t="s">
        <v>295</v>
      </c>
      <c r="D149" s="49"/>
      <c r="E149" s="49"/>
      <c r="F149" s="49"/>
      <c r="G149" s="49"/>
      <c r="H149" s="49"/>
      <c r="I149" s="49"/>
      <c r="J149" s="49"/>
      <c r="K149" s="59"/>
    </row>
    <row r="150">
      <c r="A150" s="48"/>
      <c r="C150" s="49" t="s">
        <v>291</v>
      </c>
      <c r="D150" s="49" t="s">
        <v>47</v>
      </c>
      <c r="F150" s="50" t="n">
        <v>46.62</v>
      </c>
      <c r="K150" s="51"/>
    </row>
    <row r="151">
      <c r="A151" s="9" t="s">
        <v>296</v>
      </c>
      <c r="B151" s="10" t="s">
        <v>297</v>
      </c>
      <c r="C151" s="14" t="s">
        <v>298</v>
      </c>
      <c r="D151" s="10"/>
      <c r="E151" s="10" t="s">
        <v>112</v>
      </c>
      <c r="F151" s="45" t="n">
        <v>48.951</v>
      </c>
      <c r="G151" s="45" t="n">
        <v>0</v>
      </c>
      <c r="H151" s="45">
        <f>ROUND(F151*AO151,2)</f>
      </c>
      <c r="I151" s="45">
        <f>ROUND(F151*AP151,2)</f>
      </c>
      <c r="J151" s="45">
        <f>ROUND(F151*G151,2)</f>
      </c>
      <c r="K151" s="46" t="s">
        <v>54</v>
      </c>
      <c r="Z151" s="45">
        <f>ROUND(IF(AQ151="5",BJ151,0),2)</f>
      </c>
      <c r="AB151" s="45">
        <f>ROUND(IF(AQ151="1",BH151,0),2)</f>
      </c>
      <c r="AC151" s="45">
        <f>ROUND(IF(AQ151="1",BI151,0),2)</f>
      </c>
      <c r="AD151" s="45">
        <f>ROUND(IF(AQ151="7",BH151,0),2)</f>
      </c>
      <c r="AE151" s="45">
        <f>ROUND(IF(AQ151="7",BI151,0),2)</f>
      </c>
      <c r="AF151" s="45">
        <f>ROUND(IF(AQ151="2",BH151,0),2)</f>
      </c>
      <c r="AG151" s="45">
        <f>ROUND(IF(AQ151="2",BI151,0),2)</f>
      </c>
      <c r="AH151" s="45">
        <f>ROUND(IF(AQ151="0",BJ151,0),2)</f>
      </c>
      <c r="AI151" s="28" t="s">
        <v>47</v>
      </c>
      <c r="AJ151" s="45">
        <f>IF(AN151=0,J151,0)</f>
      </c>
      <c r="AK151" s="45">
        <f>IF(AN151=12,J151,0)</f>
      </c>
      <c r="AL151" s="45">
        <f>IF(AN151=21,J151,0)</f>
      </c>
      <c r="AN151" s="45" t="n">
        <v>21</v>
      </c>
      <c r="AO151" s="45">
        <f>G151*1</f>
      </c>
      <c r="AP151" s="45">
        <f>G151*(1-1)</f>
      </c>
      <c r="AQ151" s="47" t="s">
        <v>88</v>
      </c>
      <c r="AV151" s="45">
        <f>ROUND(AW151+AX151,2)</f>
      </c>
      <c r="AW151" s="45">
        <f>ROUND(F151*AO151,2)</f>
      </c>
      <c r="AX151" s="45">
        <f>ROUND(F151*AP151,2)</f>
      </c>
      <c r="AY151" s="47" t="s">
        <v>288</v>
      </c>
      <c r="AZ151" s="47" t="s">
        <v>289</v>
      </c>
      <c r="BA151" s="28" t="s">
        <v>57</v>
      </c>
      <c r="BC151" s="45">
        <f>AW151+AX151</f>
      </c>
      <c r="BD151" s="45">
        <f>G151/(100-BE151)*100</f>
      </c>
      <c r="BE151" s="45" t="n">
        <v>0</v>
      </c>
      <c r="BF151" s="45">
        <f>151</f>
      </c>
      <c r="BH151" s="45">
        <f>F151*AO151</f>
      </c>
      <c r="BI151" s="45">
        <f>F151*AP151</f>
      </c>
      <c r="BJ151" s="45">
        <f>F151*G151</f>
      </c>
      <c r="BK151" s="45"/>
      <c r="BL151" s="45" t="n">
        <v>711</v>
      </c>
      <c r="BW151" s="45" t="n">
        <v>21</v>
      </c>
      <c r="BX151" s="14" t="s">
        <v>298</v>
      </c>
    </row>
    <row r="152">
      <c r="A152" s="48"/>
      <c r="C152" s="49" t="s">
        <v>291</v>
      </c>
      <c r="D152" s="49" t="s">
        <v>47</v>
      </c>
      <c r="F152" s="50" t="n">
        <v>46.62</v>
      </c>
      <c r="K152" s="51"/>
    </row>
    <row r="153">
      <c r="A153" s="48"/>
      <c r="C153" s="49" t="s">
        <v>299</v>
      </c>
      <c r="D153" s="49" t="s">
        <v>47</v>
      </c>
      <c r="F153" s="50" t="n">
        <v>2.331</v>
      </c>
      <c r="K153" s="51"/>
    </row>
    <row r="154">
      <c r="A154" s="9" t="s">
        <v>300</v>
      </c>
      <c r="B154" s="10" t="s">
        <v>301</v>
      </c>
      <c r="C154" s="14" t="s">
        <v>302</v>
      </c>
      <c r="D154" s="10"/>
      <c r="E154" s="10" t="s">
        <v>112</v>
      </c>
      <c r="F154" s="45" t="n">
        <v>48.951</v>
      </c>
      <c r="G154" s="45" t="n">
        <v>0</v>
      </c>
      <c r="H154" s="45">
        <f>ROUND(F154*AO154,2)</f>
      </c>
      <c r="I154" s="45">
        <f>ROUND(F154*AP154,2)</f>
      </c>
      <c r="J154" s="45">
        <f>ROUND(F154*G154,2)</f>
      </c>
      <c r="K154" s="46" t="s">
        <v>54</v>
      </c>
      <c r="Z154" s="45">
        <f>ROUND(IF(AQ154="5",BJ154,0),2)</f>
      </c>
      <c r="AB154" s="45">
        <f>ROUND(IF(AQ154="1",BH154,0),2)</f>
      </c>
      <c r="AC154" s="45">
        <f>ROUND(IF(AQ154="1",BI154,0),2)</f>
      </c>
      <c r="AD154" s="45">
        <f>ROUND(IF(AQ154="7",BH154,0),2)</f>
      </c>
      <c r="AE154" s="45">
        <f>ROUND(IF(AQ154="7",BI154,0),2)</f>
      </c>
      <c r="AF154" s="45">
        <f>ROUND(IF(AQ154="2",BH154,0),2)</f>
      </c>
      <c r="AG154" s="45">
        <f>ROUND(IF(AQ154="2",BI154,0),2)</f>
      </c>
      <c r="AH154" s="45">
        <f>ROUND(IF(AQ154="0",BJ154,0),2)</f>
      </c>
      <c r="AI154" s="28" t="s">
        <v>47</v>
      </c>
      <c r="AJ154" s="45">
        <f>IF(AN154=0,J154,0)</f>
      </c>
      <c r="AK154" s="45">
        <f>IF(AN154=12,J154,0)</f>
      </c>
      <c r="AL154" s="45">
        <f>IF(AN154=21,J154,0)</f>
      </c>
      <c r="AN154" s="45" t="n">
        <v>21</v>
      </c>
      <c r="AO154" s="45">
        <f>G154*1</f>
      </c>
      <c r="AP154" s="45">
        <f>G154*(1-1)</f>
      </c>
      <c r="AQ154" s="47" t="s">
        <v>88</v>
      </c>
      <c r="AV154" s="45">
        <f>ROUND(AW154+AX154,2)</f>
      </c>
      <c r="AW154" s="45">
        <f>ROUND(F154*AO154,2)</f>
      </c>
      <c r="AX154" s="45">
        <f>ROUND(F154*AP154,2)</f>
      </c>
      <c r="AY154" s="47" t="s">
        <v>288</v>
      </c>
      <c r="AZ154" s="47" t="s">
        <v>289</v>
      </c>
      <c r="BA154" s="28" t="s">
        <v>57</v>
      </c>
      <c r="BC154" s="45">
        <f>AW154+AX154</f>
      </c>
      <c r="BD154" s="45">
        <f>G154/(100-BE154)*100</f>
      </c>
      <c r="BE154" s="45" t="n">
        <v>0</v>
      </c>
      <c r="BF154" s="45">
        <f>154</f>
      </c>
      <c r="BH154" s="45">
        <f>F154*AO154</f>
      </c>
      <c r="BI154" s="45">
        <f>F154*AP154</f>
      </c>
      <c r="BJ154" s="45">
        <f>F154*G154</f>
      </c>
      <c r="BK154" s="45"/>
      <c r="BL154" s="45" t="n">
        <v>711</v>
      </c>
      <c r="BW154" s="45" t="n">
        <v>21</v>
      </c>
      <c r="BX154" s="14" t="s">
        <v>302</v>
      </c>
    </row>
    <row r="155">
      <c r="A155" s="48"/>
      <c r="C155" s="49" t="s">
        <v>303</v>
      </c>
      <c r="D155" s="49" t="s">
        <v>47</v>
      </c>
      <c r="F155" s="50" t="n">
        <v>46.62</v>
      </c>
      <c r="K155" s="51"/>
    </row>
    <row r="156">
      <c r="A156" s="48"/>
      <c r="C156" s="49" t="s">
        <v>299</v>
      </c>
      <c r="D156" s="49" t="s">
        <v>47</v>
      </c>
      <c r="F156" s="50" t="n">
        <v>2.331</v>
      </c>
      <c r="K156" s="51"/>
    </row>
    <row r="157">
      <c r="A157" s="9" t="s">
        <v>304</v>
      </c>
      <c r="B157" s="10" t="s">
        <v>305</v>
      </c>
      <c r="C157" s="14" t="s">
        <v>306</v>
      </c>
      <c r="D157" s="10"/>
      <c r="E157" s="10" t="s">
        <v>112</v>
      </c>
      <c r="F157" s="45" t="n">
        <v>20.045</v>
      </c>
      <c r="G157" s="45" t="n">
        <v>0</v>
      </c>
      <c r="H157" s="45">
        <f>ROUND(F157*AO157,2)</f>
      </c>
      <c r="I157" s="45">
        <f>ROUND(F157*AP157,2)</f>
      </c>
      <c r="J157" s="45">
        <f>ROUND(F157*G157,2)</f>
      </c>
      <c r="K157" s="46" t="s">
        <v>54</v>
      </c>
      <c r="Z157" s="45">
        <f>ROUND(IF(AQ157="5",BJ157,0),2)</f>
      </c>
      <c r="AB157" s="45">
        <f>ROUND(IF(AQ157="1",BH157,0),2)</f>
      </c>
      <c r="AC157" s="45">
        <f>ROUND(IF(AQ157="1",BI157,0),2)</f>
      </c>
      <c r="AD157" s="45">
        <f>ROUND(IF(AQ157="7",BH157,0),2)</f>
      </c>
      <c r="AE157" s="45">
        <f>ROUND(IF(AQ157="7",BI157,0),2)</f>
      </c>
      <c r="AF157" s="45">
        <f>ROUND(IF(AQ157="2",BH157,0),2)</f>
      </c>
      <c r="AG157" s="45">
        <f>ROUND(IF(AQ157="2",BI157,0),2)</f>
      </c>
      <c r="AH157" s="45">
        <f>ROUND(IF(AQ157="0",BJ157,0),2)</f>
      </c>
      <c r="AI157" s="28" t="s">
        <v>47</v>
      </c>
      <c r="AJ157" s="45">
        <f>IF(AN157=0,J157,0)</f>
      </c>
      <c r="AK157" s="45">
        <f>IF(AN157=12,J157,0)</f>
      </c>
      <c r="AL157" s="45">
        <f>IF(AN157=21,J157,0)</f>
      </c>
      <c r="AN157" s="45" t="n">
        <v>21</v>
      </c>
      <c r="AO157" s="45">
        <f>G157*0.694861463</f>
      </c>
      <c r="AP157" s="45">
        <f>G157*(1-0.694861463)</f>
      </c>
      <c r="AQ157" s="47" t="s">
        <v>88</v>
      </c>
      <c r="AV157" s="45">
        <f>ROUND(AW157+AX157,2)</f>
      </c>
      <c r="AW157" s="45">
        <f>ROUND(F157*AO157,2)</f>
      </c>
      <c r="AX157" s="45">
        <f>ROUND(F157*AP157,2)</f>
      </c>
      <c r="AY157" s="47" t="s">
        <v>288</v>
      </c>
      <c r="AZ157" s="47" t="s">
        <v>289</v>
      </c>
      <c r="BA157" s="28" t="s">
        <v>57</v>
      </c>
      <c r="BC157" s="45">
        <f>AW157+AX157</f>
      </c>
      <c r="BD157" s="45">
        <f>G157/(100-BE157)*100</f>
      </c>
      <c r="BE157" s="45" t="n">
        <v>0</v>
      </c>
      <c r="BF157" s="45">
        <f>157</f>
      </c>
      <c r="BH157" s="45">
        <f>F157*AO157</f>
      </c>
      <c r="BI157" s="45">
        <f>F157*AP157</f>
      </c>
      <c r="BJ157" s="45">
        <f>F157*G157</f>
      </c>
      <c r="BK157" s="45"/>
      <c r="BL157" s="45" t="n">
        <v>711</v>
      </c>
      <c r="BW157" s="45" t="n">
        <v>21</v>
      </c>
      <c r="BX157" s="14" t="s">
        <v>306</v>
      </c>
    </row>
    <row r="158" customHeight="true" ht="13.5">
      <c r="A158" s="48"/>
      <c r="B158" s="57" t="s">
        <v>92</v>
      </c>
      <c r="C158" s="58" t="s">
        <v>307</v>
      </c>
      <c r="D158" s="49"/>
      <c r="E158" s="49"/>
      <c r="F158" s="49"/>
      <c r="G158" s="49"/>
      <c r="H158" s="49"/>
      <c r="I158" s="49"/>
      <c r="J158" s="49"/>
      <c r="K158" s="59"/>
    </row>
    <row r="159">
      <c r="A159" s="48"/>
      <c r="C159" s="49" t="s">
        <v>308</v>
      </c>
      <c r="D159" s="49" t="s">
        <v>47</v>
      </c>
      <c r="F159" s="50" t="n">
        <v>20.045</v>
      </c>
      <c r="K159" s="51"/>
    </row>
    <row r="160">
      <c r="A160" s="9" t="s">
        <v>309</v>
      </c>
      <c r="B160" s="10" t="s">
        <v>310</v>
      </c>
      <c r="C160" s="14" t="s">
        <v>311</v>
      </c>
      <c r="D160" s="10"/>
      <c r="E160" s="10" t="s">
        <v>112</v>
      </c>
      <c r="F160" s="45" t="n">
        <v>20.045</v>
      </c>
      <c r="G160" s="45" t="n">
        <v>0</v>
      </c>
      <c r="H160" s="45">
        <f>ROUND(F160*AO160,2)</f>
      </c>
      <c r="I160" s="45">
        <f>ROUND(F160*AP160,2)</f>
      </c>
      <c r="J160" s="45">
        <f>ROUND(F160*G160,2)</f>
      </c>
      <c r="K160" s="46" t="s">
        <v>54</v>
      </c>
      <c r="Z160" s="45">
        <f>ROUND(IF(AQ160="5",BJ160,0),2)</f>
      </c>
      <c r="AB160" s="45">
        <f>ROUND(IF(AQ160="1",BH160,0),2)</f>
      </c>
      <c r="AC160" s="45">
        <f>ROUND(IF(AQ160="1",BI160,0),2)</f>
      </c>
      <c r="AD160" s="45">
        <f>ROUND(IF(AQ160="7",BH160,0),2)</f>
      </c>
      <c r="AE160" s="45">
        <f>ROUND(IF(AQ160="7",BI160,0),2)</f>
      </c>
      <c r="AF160" s="45">
        <f>ROUND(IF(AQ160="2",BH160,0),2)</f>
      </c>
      <c r="AG160" s="45">
        <f>ROUND(IF(AQ160="2",BI160,0),2)</f>
      </c>
      <c r="AH160" s="45">
        <f>ROUND(IF(AQ160="0",BJ160,0),2)</f>
      </c>
      <c r="AI160" s="28" t="s">
        <v>47</v>
      </c>
      <c r="AJ160" s="45">
        <f>IF(AN160=0,J160,0)</f>
      </c>
      <c r="AK160" s="45">
        <f>IF(AN160=12,J160,0)</f>
      </c>
      <c r="AL160" s="45">
        <f>IF(AN160=21,J160,0)</f>
      </c>
      <c r="AN160" s="45" t="n">
        <v>21</v>
      </c>
      <c r="AO160" s="45">
        <f>G160*0.472928928</f>
      </c>
      <c r="AP160" s="45">
        <f>G160*(1-0.472928928)</f>
      </c>
      <c r="AQ160" s="47" t="s">
        <v>88</v>
      </c>
      <c r="AV160" s="45">
        <f>ROUND(AW160+AX160,2)</f>
      </c>
      <c r="AW160" s="45">
        <f>ROUND(F160*AO160,2)</f>
      </c>
      <c r="AX160" s="45">
        <f>ROUND(F160*AP160,2)</f>
      </c>
      <c r="AY160" s="47" t="s">
        <v>288</v>
      </c>
      <c r="AZ160" s="47" t="s">
        <v>289</v>
      </c>
      <c r="BA160" s="28" t="s">
        <v>57</v>
      </c>
      <c r="BC160" s="45">
        <f>AW160+AX160</f>
      </c>
      <c r="BD160" s="45">
        <f>G160/(100-BE160)*100</f>
      </c>
      <c r="BE160" s="45" t="n">
        <v>0</v>
      </c>
      <c r="BF160" s="45">
        <f>160</f>
      </c>
      <c r="BH160" s="45">
        <f>F160*AO160</f>
      </c>
      <c r="BI160" s="45">
        <f>F160*AP160</f>
      </c>
      <c r="BJ160" s="45">
        <f>F160*G160</f>
      </c>
      <c r="BK160" s="45"/>
      <c r="BL160" s="45" t="n">
        <v>711</v>
      </c>
      <c r="BW160" s="45" t="n">
        <v>21</v>
      </c>
      <c r="BX160" s="14" t="s">
        <v>311</v>
      </c>
    </row>
    <row r="161" customHeight="true" ht="13.5">
      <c r="A161" s="48"/>
      <c r="B161" s="57" t="s">
        <v>92</v>
      </c>
      <c r="C161" s="58" t="s">
        <v>312</v>
      </c>
      <c r="D161" s="49"/>
      <c r="E161" s="49"/>
      <c r="F161" s="49"/>
      <c r="G161" s="49"/>
      <c r="H161" s="49"/>
      <c r="I161" s="49"/>
      <c r="J161" s="49"/>
      <c r="K161" s="59"/>
    </row>
    <row r="162">
      <c r="A162" s="48"/>
      <c r="C162" s="49" t="s">
        <v>308</v>
      </c>
      <c r="D162" s="49" t="s">
        <v>47</v>
      </c>
      <c r="F162" s="50" t="n">
        <v>20.045</v>
      </c>
      <c r="K162" s="51"/>
    </row>
    <row r="163">
      <c r="A163" s="9" t="s">
        <v>313</v>
      </c>
      <c r="B163" s="10" t="s">
        <v>314</v>
      </c>
      <c r="C163" s="14" t="s">
        <v>315</v>
      </c>
      <c r="D163" s="10"/>
      <c r="E163" s="10" t="s">
        <v>221</v>
      </c>
      <c r="F163" s="45" t="n">
        <v>21.1</v>
      </c>
      <c r="G163" s="45" t="n">
        <v>0</v>
      </c>
      <c r="H163" s="45">
        <f>ROUND(F163*AO163,2)</f>
      </c>
      <c r="I163" s="45">
        <f>ROUND(F163*AP163,2)</f>
      </c>
      <c r="J163" s="45">
        <f>ROUND(F163*G163,2)</f>
      </c>
      <c r="K163" s="46" t="s">
        <v>54</v>
      </c>
      <c r="Z163" s="45">
        <f>ROUND(IF(AQ163="5",BJ163,0),2)</f>
      </c>
      <c r="AB163" s="45">
        <f>ROUND(IF(AQ163="1",BH163,0),2)</f>
      </c>
      <c r="AC163" s="45">
        <f>ROUND(IF(AQ163="1",BI163,0),2)</f>
      </c>
      <c r="AD163" s="45">
        <f>ROUND(IF(AQ163="7",BH163,0),2)</f>
      </c>
      <c r="AE163" s="45">
        <f>ROUND(IF(AQ163="7",BI163,0),2)</f>
      </c>
      <c r="AF163" s="45">
        <f>ROUND(IF(AQ163="2",BH163,0),2)</f>
      </c>
      <c r="AG163" s="45">
        <f>ROUND(IF(AQ163="2",BI163,0),2)</f>
      </c>
      <c r="AH163" s="45">
        <f>ROUND(IF(AQ163="0",BJ163,0),2)</f>
      </c>
      <c r="AI163" s="28" t="s">
        <v>47</v>
      </c>
      <c r="AJ163" s="45">
        <f>IF(AN163=0,J163,0)</f>
      </c>
      <c r="AK163" s="45">
        <f>IF(AN163=12,J163,0)</f>
      </c>
      <c r="AL163" s="45">
        <f>IF(AN163=21,J163,0)</f>
      </c>
      <c r="AN163" s="45" t="n">
        <v>21</v>
      </c>
      <c r="AO163" s="45">
        <f>G163*0.690607811</f>
      </c>
      <c r="AP163" s="45">
        <f>G163*(1-0.690607811)</f>
      </c>
      <c r="AQ163" s="47" t="s">
        <v>88</v>
      </c>
      <c r="AV163" s="45">
        <f>ROUND(AW163+AX163,2)</f>
      </c>
      <c r="AW163" s="45">
        <f>ROUND(F163*AO163,2)</f>
      </c>
      <c r="AX163" s="45">
        <f>ROUND(F163*AP163,2)</f>
      </c>
      <c r="AY163" s="47" t="s">
        <v>288</v>
      </c>
      <c r="AZ163" s="47" t="s">
        <v>289</v>
      </c>
      <c r="BA163" s="28" t="s">
        <v>57</v>
      </c>
      <c r="BC163" s="45">
        <f>AW163+AX163</f>
      </c>
      <c r="BD163" s="45">
        <f>G163/(100-BE163)*100</f>
      </c>
      <c r="BE163" s="45" t="n">
        <v>0</v>
      </c>
      <c r="BF163" s="45">
        <f>163</f>
      </c>
      <c r="BH163" s="45">
        <f>F163*AO163</f>
      </c>
      <c r="BI163" s="45">
        <f>F163*AP163</f>
      </c>
      <c r="BJ163" s="45">
        <f>F163*G163</f>
      </c>
      <c r="BK163" s="45"/>
      <c r="BL163" s="45" t="n">
        <v>711</v>
      </c>
      <c r="BW163" s="45" t="n">
        <v>21</v>
      </c>
      <c r="BX163" s="14" t="s">
        <v>315</v>
      </c>
    </row>
    <row r="164" customHeight="true" ht="13.5">
      <c r="A164" s="48"/>
      <c r="B164" s="57" t="s">
        <v>92</v>
      </c>
      <c r="C164" s="58" t="s">
        <v>316</v>
      </c>
      <c r="D164" s="49"/>
      <c r="E164" s="49"/>
      <c r="F164" s="49"/>
      <c r="G164" s="49"/>
      <c r="H164" s="49"/>
      <c r="I164" s="49"/>
      <c r="J164" s="49"/>
      <c r="K164" s="59"/>
    </row>
    <row r="165">
      <c r="A165" s="48"/>
      <c r="C165" s="49" t="s">
        <v>317</v>
      </c>
      <c r="D165" s="49" t="s">
        <v>47</v>
      </c>
      <c r="F165" s="50" t="n">
        <v>21.1</v>
      </c>
      <c r="K165" s="51"/>
    </row>
    <row r="166">
      <c r="A166" s="9" t="s">
        <v>318</v>
      </c>
      <c r="B166" s="10" t="s">
        <v>319</v>
      </c>
      <c r="C166" s="14" t="s">
        <v>320</v>
      </c>
      <c r="D166" s="10"/>
      <c r="E166" s="10" t="s">
        <v>153</v>
      </c>
      <c r="F166" s="45" t="n">
        <v>0.658</v>
      </c>
      <c r="G166" s="45" t="n">
        <v>0</v>
      </c>
      <c r="H166" s="45">
        <f>ROUND(F166*AO166,2)</f>
      </c>
      <c r="I166" s="45">
        <f>ROUND(F166*AP166,2)</f>
      </c>
      <c r="J166" s="45">
        <f>ROUND(F166*G166,2)</f>
      </c>
      <c r="K166" s="46" t="s">
        <v>54</v>
      </c>
      <c r="Z166" s="45">
        <f>ROUND(IF(AQ166="5",BJ166,0),2)</f>
      </c>
      <c r="AB166" s="45">
        <f>ROUND(IF(AQ166="1",BH166,0),2)</f>
      </c>
      <c r="AC166" s="45">
        <f>ROUND(IF(AQ166="1",BI166,0),2)</f>
      </c>
      <c r="AD166" s="45">
        <f>ROUND(IF(AQ166="7",BH166,0),2)</f>
      </c>
      <c r="AE166" s="45">
        <f>ROUND(IF(AQ166="7",BI166,0),2)</f>
      </c>
      <c r="AF166" s="45">
        <f>ROUND(IF(AQ166="2",BH166,0),2)</f>
      </c>
      <c r="AG166" s="45">
        <f>ROUND(IF(AQ166="2",BI166,0),2)</f>
      </c>
      <c r="AH166" s="45">
        <f>ROUND(IF(AQ166="0",BJ166,0),2)</f>
      </c>
      <c r="AI166" s="28" t="s">
        <v>47</v>
      </c>
      <c r="AJ166" s="45">
        <f>IF(AN166=0,J166,0)</f>
      </c>
      <c r="AK166" s="45">
        <f>IF(AN166=12,J166,0)</f>
      </c>
      <c r="AL166" s="45">
        <f>IF(AN166=21,J166,0)</f>
      </c>
      <c r="AN166" s="45" t="n">
        <v>21</v>
      </c>
      <c r="AO166" s="45">
        <f>G166*0</f>
      </c>
      <c r="AP166" s="45">
        <f>G166*(1-0)</f>
      </c>
      <c r="AQ166" s="47" t="s">
        <v>74</v>
      </c>
      <c r="AV166" s="45">
        <f>ROUND(AW166+AX166,2)</f>
      </c>
      <c r="AW166" s="45">
        <f>ROUND(F166*AO166,2)</f>
      </c>
      <c r="AX166" s="45">
        <f>ROUND(F166*AP166,2)</f>
      </c>
      <c r="AY166" s="47" t="s">
        <v>288</v>
      </c>
      <c r="AZ166" s="47" t="s">
        <v>289</v>
      </c>
      <c r="BA166" s="28" t="s">
        <v>57</v>
      </c>
      <c r="BC166" s="45">
        <f>AW166+AX166</f>
      </c>
      <c r="BD166" s="45">
        <f>G166/(100-BE166)*100</f>
      </c>
      <c r="BE166" s="45" t="n">
        <v>0</v>
      </c>
      <c r="BF166" s="45">
        <f>166</f>
      </c>
      <c r="BH166" s="45">
        <f>F166*AO166</f>
      </c>
      <c r="BI166" s="45">
        <f>F166*AP166</f>
      </c>
      <c r="BJ166" s="45">
        <f>F166*G166</f>
      </c>
      <c r="BK166" s="45"/>
      <c r="BL166" s="45" t="n">
        <v>711</v>
      </c>
      <c r="BW166" s="45" t="n">
        <v>21</v>
      </c>
      <c r="BX166" s="14" t="s">
        <v>320</v>
      </c>
    </row>
    <row r="167">
      <c r="A167" s="52" t="s">
        <v>47</v>
      </c>
      <c r="B167" s="53" t="s">
        <v>321</v>
      </c>
      <c r="C167" s="54" t="s">
        <v>322</v>
      </c>
      <c r="D167" s="53"/>
      <c r="E167" s="55" t="s">
        <v>4</v>
      </c>
      <c r="F167" s="55" t="s">
        <v>4</v>
      </c>
      <c r="G167" s="55" t="s">
        <v>4</v>
      </c>
      <c r="H167" s="2">
        <f>SUM(H168:H171)</f>
      </c>
      <c r="I167" s="2">
        <f>SUM(I168:I171)</f>
      </c>
      <c r="J167" s="2">
        <f>SUM(J168:J171)</f>
      </c>
      <c r="K167" s="56" t="s">
        <v>47</v>
      </c>
      <c r="AI167" s="28" t="s">
        <v>47</v>
      </c>
      <c r="AS167" s="2">
        <f>SUM(AJ168:AJ171)</f>
      </c>
      <c r="AT167" s="2">
        <f>SUM(AK168:AK171)</f>
      </c>
      <c r="AU167" s="2">
        <f>SUM(AL168:AL171)</f>
      </c>
    </row>
    <row r="168">
      <c r="A168" s="9" t="s">
        <v>323</v>
      </c>
      <c r="B168" s="10" t="s">
        <v>324</v>
      </c>
      <c r="C168" s="14" t="s">
        <v>325</v>
      </c>
      <c r="D168" s="10"/>
      <c r="E168" s="10" t="s">
        <v>176</v>
      </c>
      <c r="F168" s="45" t="n">
        <v>2</v>
      </c>
      <c r="G168" s="45" t="n">
        <v>0</v>
      </c>
      <c r="H168" s="45">
        <f>ROUND(F168*AO168,2)</f>
      </c>
      <c r="I168" s="45">
        <f>ROUND(F168*AP168,2)</f>
      </c>
      <c r="J168" s="45">
        <f>ROUND(F168*G168,2)</f>
      </c>
      <c r="K168" s="46" t="s">
        <v>54</v>
      </c>
      <c r="Z168" s="45">
        <f>ROUND(IF(AQ168="5",BJ168,0),2)</f>
      </c>
      <c r="AB168" s="45">
        <f>ROUND(IF(AQ168="1",BH168,0),2)</f>
      </c>
      <c r="AC168" s="45">
        <f>ROUND(IF(AQ168="1",BI168,0),2)</f>
      </c>
      <c r="AD168" s="45">
        <f>ROUND(IF(AQ168="7",BH168,0),2)</f>
      </c>
      <c r="AE168" s="45">
        <f>ROUND(IF(AQ168="7",BI168,0),2)</f>
      </c>
      <c r="AF168" s="45">
        <f>ROUND(IF(AQ168="2",BH168,0),2)</f>
      </c>
      <c r="AG168" s="45">
        <f>ROUND(IF(AQ168="2",BI168,0),2)</f>
      </c>
      <c r="AH168" s="45">
        <f>ROUND(IF(AQ168="0",BJ168,0),2)</f>
      </c>
      <c r="AI168" s="28" t="s">
        <v>47</v>
      </c>
      <c r="AJ168" s="45">
        <f>IF(AN168=0,J168,0)</f>
      </c>
      <c r="AK168" s="45">
        <f>IF(AN168=12,J168,0)</f>
      </c>
      <c r="AL168" s="45">
        <f>IF(AN168=21,J168,0)</f>
      </c>
      <c r="AN168" s="45" t="n">
        <v>21</v>
      </c>
      <c r="AO168" s="45">
        <f>G168*0.933286604</f>
      </c>
      <c r="AP168" s="45">
        <f>G168*(1-0.933286604)</f>
      </c>
      <c r="AQ168" s="47" t="s">
        <v>88</v>
      </c>
      <c r="AV168" s="45">
        <f>ROUND(AW168+AX168,2)</f>
      </c>
      <c r="AW168" s="45">
        <f>ROUND(F168*AO168,2)</f>
      </c>
      <c r="AX168" s="45">
        <f>ROUND(F168*AP168,2)</f>
      </c>
      <c r="AY168" s="47" t="s">
        <v>326</v>
      </c>
      <c r="AZ168" s="47" t="s">
        <v>327</v>
      </c>
      <c r="BA168" s="28" t="s">
        <v>57</v>
      </c>
      <c r="BC168" s="45">
        <f>AW168+AX168</f>
      </c>
      <c r="BD168" s="45">
        <f>G168/(100-BE168)*100</f>
      </c>
      <c r="BE168" s="45" t="n">
        <v>0</v>
      </c>
      <c r="BF168" s="45">
        <f>168</f>
      </c>
      <c r="BH168" s="45">
        <f>F168*AO168</f>
      </c>
      <c r="BI168" s="45">
        <f>F168*AP168</f>
      </c>
      <c r="BJ168" s="45">
        <f>F168*G168</f>
      </c>
      <c r="BK168" s="45"/>
      <c r="BL168" s="45" t="n">
        <v>721</v>
      </c>
      <c r="BW168" s="45" t="n">
        <v>21</v>
      </c>
      <c r="BX168" s="14" t="s">
        <v>325</v>
      </c>
    </row>
    <row r="169" customHeight="true" ht="13.5">
      <c r="A169" s="48"/>
      <c r="B169" s="57" t="s">
        <v>92</v>
      </c>
      <c r="C169" s="58" t="s">
        <v>328</v>
      </c>
      <c r="D169" s="49"/>
      <c r="E169" s="49"/>
      <c r="F169" s="49"/>
      <c r="G169" s="49"/>
      <c r="H169" s="49"/>
      <c r="I169" s="49"/>
      <c r="J169" s="49"/>
      <c r="K169" s="59"/>
    </row>
    <row r="170">
      <c r="A170" s="48"/>
      <c r="C170" s="49" t="s">
        <v>61</v>
      </c>
      <c r="D170" s="49" t="s">
        <v>47</v>
      </c>
      <c r="F170" s="50" t="n">
        <v>2</v>
      </c>
      <c r="K170" s="51"/>
    </row>
    <row r="171">
      <c r="A171" s="9" t="s">
        <v>329</v>
      </c>
      <c r="B171" s="10" t="s">
        <v>330</v>
      </c>
      <c r="C171" s="14" t="s">
        <v>331</v>
      </c>
      <c r="D171" s="10"/>
      <c r="E171" s="10" t="s">
        <v>153</v>
      </c>
      <c r="F171" s="45" t="n">
        <v>0.1676</v>
      </c>
      <c r="G171" s="45" t="n">
        <v>0</v>
      </c>
      <c r="H171" s="45">
        <f>ROUND(F171*AO171,2)</f>
      </c>
      <c r="I171" s="45">
        <f>ROUND(F171*AP171,2)</f>
      </c>
      <c r="J171" s="45">
        <f>ROUND(F171*G171,2)</f>
      </c>
      <c r="K171" s="46" t="s">
        <v>54</v>
      </c>
      <c r="Z171" s="45">
        <f>ROUND(IF(AQ171="5",BJ171,0),2)</f>
      </c>
      <c r="AB171" s="45">
        <f>ROUND(IF(AQ171="1",BH171,0),2)</f>
      </c>
      <c r="AC171" s="45">
        <f>ROUND(IF(AQ171="1",BI171,0),2)</f>
      </c>
      <c r="AD171" s="45">
        <f>ROUND(IF(AQ171="7",BH171,0),2)</f>
      </c>
      <c r="AE171" s="45">
        <f>ROUND(IF(AQ171="7",BI171,0),2)</f>
      </c>
      <c r="AF171" s="45">
        <f>ROUND(IF(AQ171="2",BH171,0),2)</f>
      </c>
      <c r="AG171" s="45">
        <f>ROUND(IF(AQ171="2",BI171,0),2)</f>
      </c>
      <c r="AH171" s="45">
        <f>ROUND(IF(AQ171="0",BJ171,0),2)</f>
      </c>
      <c r="AI171" s="28" t="s">
        <v>47</v>
      </c>
      <c r="AJ171" s="45">
        <f>IF(AN171=0,J171,0)</f>
      </c>
      <c r="AK171" s="45">
        <f>IF(AN171=12,J171,0)</f>
      </c>
      <c r="AL171" s="45">
        <f>IF(AN171=21,J171,0)</f>
      </c>
      <c r="AN171" s="45" t="n">
        <v>21</v>
      </c>
      <c r="AO171" s="45">
        <f>G171*0</f>
      </c>
      <c r="AP171" s="45">
        <f>G171*(1-0)</f>
      </c>
      <c r="AQ171" s="47" t="s">
        <v>74</v>
      </c>
      <c r="AV171" s="45">
        <f>ROUND(AW171+AX171,2)</f>
      </c>
      <c r="AW171" s="45">
        <f>ROUND(F171*AO171,2)</f>
      </c>
      <c r="AX171" s="45">
        <f>ROUND(F171*AP171,2)</f>
      </c>
      <c r="AY171" s="47" t="s">
        <v>326</v>
      </c>
      <c r="AZ171" s="47" t="s">
        <v>327</v>
      </c>
      <c r="BA171" s="28" t="s">
        <v>57</v>
      </c>
      <c r="BC171" s="45">
        <f>AW171+AX171</f>
      </c>
      <c r="BD171" s="45">
        <f>G171/(100-BE171)*100</f>
      </c>
      <c r="BE171" s="45" t="n">
        <v>0</v>
      </c>
      <c r="BF171" s="45">
        <f>171</f>
      </c>
      <c r="BH171" s="45">
        <f>F171*AO171</f>
      </c>
      <c r="BI171" s="45">
        <f>F171*AP171</f>
      </c>
      <c r="BJ171" s="45">
        <f>F171*G171</f>
      </c>
      <c r="BK171" s="45"/>
      <c r="BL171" s="45" t="n">
        <v>721</v>
      </c>
      <c r="BW171" s="45" t="n">
        <v>21</v>
      </c>
      <c r="BX171" s="14" t="s">
        <v>331</v>
      </c>
    </row>
    <row r="172">
      <c r="A172" s="52" t="s">
        <v>47</v>
      </c>
      <c r="B172" s="53" t="s">
        <v>332</v>
      </c>
      <c r="C172" s="54" t="s">
        <v>333</v>
      </c>
      <c r="D172" s="53"/>
      <c r="E172" s="55" t="s">
        <v>4</v>
      </c>
      <c r="F172" s="55" t="s">
        <v>4</v>
      </c>
      <c r="G172" s="55" t="s">
        <v>4</v>
      </c>
      <c r="H172" s="2">
        <f>SUM(H173:H190)</f>
      </c>
      <c r="I172" s="2">
        <f>SUM(I173:I190)</f>
      </c>
      <c r="J172" s="2">
        <f>SUM(J173:J190)</f>
      </c>
      <c r="K172" s="56" t="s">
        <v>47</v>
      </c>
      <c r="AI172" s="28" t="s">
        <v>47</v>
      </c>
      <c r="AS172" s="2">
        <f>SUM(AJ173:AJ190)</f>
      </c>
      <c r="AT172" s="2">
        <f>SUM(AK173:AK190)</f>
      </c>
      <c r="AU172" s="2">
        <f>SUM(AL173:AL190)</f>
      </c>
    </row>
    <row r="173">
      <c r="A173" s="9" t="s">
        <v>334</v>
      </c>
      <c r="B173" s="10" t="s">
        <v>335</v>
      </c>
      <c r="C173" s="14" t="s">
        <v>336</v>
      </c>
      <c r="D173" s="10"/>
      <c r="E173" s="10" t="s">
        <v>112</v>
      </c>
      <c r="F173" s="45" t="n">
        <v>79.28</v>
      </c>
      <c r="G173" s="45" t="n">
        <v>0</v>
      </c>
      <c r="H173" s="45">
        <f>ROUND(F173*AO173,2)</f>
      </c>
      <c r="I173" s="45">
        <f>ROUND(F173*AP173,2)</f>
      </c>
      <c r="J173" s="45">
        <f>ROUND(F173*G173,2)</f>
      </c>
      <c r="K173" s="46" t="s">
        <v>54</v>
      </c>
      <c r="Z173" s="45">
        <f>ROUND(IF(AQ173="5",BJ173,0),2)</f>
      </c>
      <c r="AB173" s="45">
        <f>ROUND(IF(AQ173="1",BH173,0),2)</f>
      </c>
      <c r="AC173" s="45">
        <f>ROUND(IF(AQ173="1",BI173,0),2)</f>
      </c>
      <c r="AD173" s="45">
        <f>ROUND(IF(AQ173="7",BH173,0),2)</f>
      </c>
      <c r="AE173" s="45">
        <f>ROUND(IF(AQ173="7",BI173,0),2)</f>
      </c>
      <c r="AF173" s="45">
        <f>ROUND(IF(AQ173="2",BH173,0),2)</f>
      </c>
      <c r="AG173" s="45">
        <f>ROUND(IF(AQ173="2",BI173,0),2)</f>
      </c>
      <c r="AH173" s="45">
        <f>ROUND(IF(AQ173="0",BJ173,0),2)</f>
      </c>
      <c r="AI173" s="28" t="s">
        <v>47</v>
      </c>
      <c r="AJ173" s="45">
        <f>IF(AN173=0,J173,0)</f>
      </c>
      <c r="AK173" s="45">
        <f>IF(AN173=12,J173,0)</f>
      </c>
      <c r="AL173" s="45">
        <f>IF(AN173=21,J173,0)</f>
      </c>
      <c r="AN173" s="45" t="n">
        <v>21</v>
      </c>
      <c r="AO173" s="45">
        <f>G173*0</f>
      </c>
      <c r="AP173" s="45">
        <f>G173*(1-0)</f>
      </c>
      <c r="AQ173" s="47" t="s">
        <v>88</v>
      </c>
      <c r="AV173" s="45">
        <f>ROUND(AW173+AX173,2)</f>
      </c>
      <c r="AW173" s="45">
        <f>ROUND(F173*AO173,2)</f>
      </c>
      <c r="AX173" s="45">
        <f>ROUND(F173*AP173,2)</f>
      </c>
      <c r="AY173" s="47" t="s">
        <v>337</v>
      </c>
      <c r="AZ173" s="47" t="s">
        <v>338</v>
      </c>
      <c r="BA173" s="28" t="s">
        <v>57</v>
      </c>
      <c r="BC173" s="45">
        <f>AW173+AX173</f>
      </c>
      <c r="BD173" s="45">
        <f>G173/(100-BE173)*100</f>
      </c>
      <c r="BE173" s="45" t="n">
        <v>0</v>
      </c>
      <c r="BF173" s="45">
        <f>173</f>
      </c>
      <c r="BH173" s="45">
        <f>F173*AO173</f>
      </c>
      <c r="BI173" s="45">
        <f>F173*AP173</f>
      </c>
      <c r="BJ173" s="45">
        <f>F173*G173</f>
      </c>
      <c r="BK173" s="45"/>
      <c r="BL173" s="45" t="n">
        <v>762</v>
      </c>
      <c r="BW173" s="45" t="n">
        <v>21</v>
      </c>
      <c r="BX173" s="14" t="s">
        <v>336</v>
      </c>
    </row>
    <row r="174" customHeight="true" ht="13.5">
      <c r="A174" s="48"/>
      <c r="B174" s="57" t="s">
        <v>92</v>
      </c>
      <c r="C174" s="58" t="s">
        <v>339</v>
      </c>
      <c r="D174" s="49"/>
      <c r="E174" s="49"/>
      <c r="F174" s="49"/>
      <c r="G174" s="49"/>
      <c r="H174" s="49"/>
      <c r="I174" s="49"/>
      <c r="J174" s="49"/>
      <c r="K174" s="59"/>
    </row>
    <row r="175">
      <c r="A175" s="48"/>
      <c r="C175" s="49" t="s">
        <v>340</v>
      </c>
      <c r="D175" s="49" t="s">
        <v>47</v>
      </c>
      <c r="F175" s="50" t="n">
        <v>37.04</v>
      </c>
      <c r="K175" s="51"/>
    </row>
    <row r="176">
      <c r="A176" s="48"/>
      <c r="C176" s="49" t="s">
        <v>341</v>
      </c>
      <c r="D176" s="49" t="s">
        <v>47</v>
      </c>
      <c r="F176" s="50" t="n">
        <v>42.24</v>
      </c>
      <c r="K176" s="51"/>
    </row>
    <row r="177">
      <c r="A177" s="9" t="s">
        <v>342</v>
      </c>
      <c r="B177" s="10" t="s">
        <v>343</v>
      </c>
      <c r="C177" s="14" t="s">
        <v>344</v>
      </c>
      <c r="D177" s="10"/>
      <c r="E177" s="10" t="s">
        <v>221</v>
      </c>
      <c r="F177" s="45" t="n">
        <v>64.8</v>
      </c>
      <c r="G177" s="45" t="n">
        <v>0</v>
      </c>
      <c r="H177" s="45">
        <f>ROUND(F177*AO177,2)</f>
      </c>
      <c r="I177" s="45">
        <f>ROUND(F177*AP177,2)</f>
      </c>
      <c r="J177" s="45">
        <f>ROUND(F177*G177,2)</f>
      </c>
      <c r="K177" s="46" t="s">
        <v>54</v>
      </c>
      <c r="Z177" s="45">
        <f>ROUND(IF(AQ177="5",BJ177,0),2)</f>
      </c>
      <c r="AB177" s="45">
        <f>ROUND(IF(AQ177="1",BH177,0),2)</f>
      </c>
      <c r="AC177" s="45">
        <f>ROUND(IF(AQ177="1",BI177,0),2)</f>
      </c>
      <c r="AD177" s="45">
        <f>ROUND(IF(AQ177="7",BH177,0),2)</f>
      </c>
      <c r="AE177" s="45">
        <f>ROUND(IF(AQ177="7",BI177,0),2)</f>
      </c>
      <c r="AF177" s="45">
        <f>ROUND(IF(AQ177="2",BH177,0),2)</f>
      </c>
      <c r="AG177" s="45">
        <f>ROUND(IF(AQ177="2",BI177,0),2)</f>
      </c>
      <c r="AH177" s="45">
        <f>ROUND(IF(AQ177="0",BJ177,0),2)</f>
      </c>
      <c r="AI177" s="28" t="s">
        <v>47</v>
      </c>
      <c r="AJ177" s="45">
        <f>IF(AN177=0,J177,0)</f>
      </c>
      <c r="AK177" s="45">
        <f>IF(AN177=12,J177,0)</f>
      </c>
      <c r="AL177" s="45">
        <f>IF(AN177=21,J177,0)</f>
      </c>
      <c r="AN177" s="45" t="n">
        <v>21</v>
      </c>
      <c r="AO177" s="45">
        <f>G177*0.044533608</f>
      </c>
      <c r="AP177" s="45">
        <f>G177*(1-0.044533608)</f>
      </c>
      <c r="AQ177" s="47" t="s">
        <v>88</v>
      </c>
      <c r="AV177" s="45">
        <f>ROUND(AW177+AX177,2)</f>
      </c>
      <c r="AW177" s="45">
        <f>ROUND(F177*AO177,2)</f>
      </c>
      <c r="AX177" s="45">
        <f>ROUND(F177*AP177,2)</f>
      </c>
      <c r="AY177" s="47" t="s">
        <v>337</v>
      </c>
      <c r="AZ177" s="47" t="s">
        <v>338</v>
      </c>
      <c r="BA177" s="28" t="s">
        <v>57</v>
      </c>
      <c r="BC177" s="45">
        <f>AW177+AX177</f>
      </c>
      <c r="BD177" s="45">
        <f>G177/(100-BE177)*100</f>
      </c>
      <c r="BE177" s="45" t="n">
        <v>0</v>
      </c>
      <c r="BF177" s="45">
        <f>177</f>
      </c>
      <c r="BH177" s="45">
        <f>F177*AO177</f>
      </c>
      <c r="BI177" s="45">
        <f>F177*AP177</f>
      </c>
      <c r="BJ177" s="45">
        <f>F177*G177</f>
      </c>
      <c r="BK177" s="45"/>
      <c r="BL177" s="45" t="n">
        <v>762</v>
      </c>
      <c r="BW177" s="45" t="n">
        <v>21</v>
      </c>
      <c r="BX177" s="14" t="s">
        <v>344</v>
      </c>
    </row>
    <row r="178">
      <c r="A178" s="48"/>
      <c r="C178" s="49" t="s">
        <v>345</v>
      </c>
      <c r="D178" s="49" t="s">
        <v>47</v>
      </c>
      <c r="F178" s="50" t="n">
        <v>64.8</v>
      </c>
      <c r="K178" s="51"/>
    </row>
    <row r="179">
      <c r="A179" s="9" t="s">
        <v>228</v>
      </c>
      <c r="B179" s="10" t="s">
        <v>346</v>
      </c>
      <c r="C179" s="14" t="s">
        <v>347</v>
      </c>
      <c r="D179" s="10"/>
      <c r="E179" s="10" t="s">
        <v>53</v>
      </c>
      <c r="F179" s="45" t="n">
        <v>2.56725</v>
      </c>
      <c r="G179" s="45" t="n">
        <v>0</v>
      </c>
      <c r="H179" s="45">
        <f>ROUND(F179*AO179,2)</f>
      </c>
      <c r="I179" s="45">
        <f>ROUND(F179*AP179,2)</f>
      </c>
      <c r="J179" s="45">
        <f>ROUND(F179*G179,2)</f>
      </c>
      <c r="K179" s="46" t="s">
        <v>54</v>
      </c>
      <c r="Z179" s="45">
        <f>ROUND(IF(AQ179="5",BJ179,0),2)</f>
      </c>
      <c r="AB179" s="45">
        <f>ROUND(IF(AQ179="1",BH179,0),2)</f>
      </c>
      <c r="AC179" s="45">
        <f>ROUND(IF(AQ179="1",BI179,0),2)</f>
      </c>
      <c r="AD179" s="45">
        <f>ROUND(IF(AQ179="7",BH179,0),2)</f>
      </c>
      <c r="AE179" s="45">
        <f>ROUND(IF(AQ179="7",BI179,0),2)</f>
      </c>
      <c r="AF179" s="45">
        <f>ROUND(IF(AQ179="2",BH179,0),2)</f>
      </c>
      <c r="AG179" s="45">
        <f>ROUND(IF(AQ179="2",BI179,0),2)</f>
      </c>
      <c r="AH179" s="45">
        <f>ROUND(IF(AQ179="0",BJ179,0),2)</f>
      </c>
      <c r="AI179" s="28" t="s">
        <v>47</v>
      </c>
      <c r="AJ179" s="45">
        <f>IF(AN179=0,J179,0)</f>
      </c>
      <c r="AK179" s="45">
        <f>IF(AN179=12,J179,0)</f>
      </c>
      <c r="AL179" s="45">
        <f>IF(AN179=21,J179,0)</f>
      </c>
      <c r="AN179" s="45" t="n">
        <v>21</v>
      </c>
      <c r="AO179" s="45">
        <f>G179*1</f>
      </c>
      <c r="AP179" s="45">
        <f>G179*(1-1)</f>
      </c>
      <c r="AQ179" s="47" t="s">
        <v>88</v>
      </c>
      <c r="AV179" s="45">
        <f>ROUND(AW179+AX179,2)</f>
      </c>
      <c r="AW179" s="45">
        <f>ROUND(F179*AO179,2)</f>
      </c>
      <c r="AX179" s="45">
        <f>ROUND(F179*AP179,2)</f>
      </c>
      <c r="AY179" s="47" t="s">
        <v>337</v>
      </c>
      <c r="AZ179" s="47" t="s">
        <v>338</v>
      </c>
      <c r="BA179" s="28" t="s">
        <v>57</v>
      </c>
      <c r="BC179" s="45">
        <f>AW179+AX179</f>
      </c>
      <c r="BD179" s="45">
        <f>G179/(100-BE179)*100</f>
      </c>
      <c r="BE179" s="45" t="n">
        <v>0</v>
      </c>
      <c r="BF179" s="45">
        <f>179</f>
      </c>
      <c r="BH179" s="45">
        <f>F179*AO179</f>
      </c>
      <c r="BI179" s="45">
        <f>F179*AP179</f>
      </c>
      <c r="BJ179" s="45">
        <f>F179*G179</f>
      </c>
      <c r="BK179" s="45"/>
      <c r="BL179" s="45" t="n">
        <v>762</v>
      </c>
      <c r="BW179" s="45" t="n">
        <v>21</v>
      </c>
      <c r="BX179" s="14" t="s">
        <v>347</v>
      </c>
    </row>
    <row r="180">
      <c r="A180" s="48"/>
      <c r="C180" s="49" t="s">
        <v>348</v>
      </c>
      <c r="D180" s="49" t="s">
        <v>47</v>
      </c>
      <c r="F180" s="50" t="n">
        <v>2.445</v>
      </c>
      <c r="K180" s="51"/>
    </row>
    <row r="181">
      <c r="A181" s="48"/>
      <c r="C181" s="49" t="s">
        <v>349</v>
      </c>
      <c r="D181" s="49" t="s">
        <v>47</v>
      </c>
      <c r="F181" s="50" t="n">
        <v>0.12225</v>
      </c>
      <c r="K181" s="51"/>
    </row>
    <row r="182">
      <c r="A182" s="9" t="s">
        <v>350</v>
      </c>
      <c r="B182" s="10" t="s">
        <v>351</v>
      </c>
      <c r="C182" s="14" t="s">
        <v>352</v>
      </c>
      <c r="D182" s="10"/>
      <c r="E182" s="10" t="s">
        <v>221</v>
      </c>
      <c r="F182" s="45" t="n">
        <v>80</v>
      </c>
      <c r="G182" s="45" t="n">
        <v>0</v>
      </c>
      <c r="H182" s="45">
        <f>ROUND(F182*AO182,2)</f>
      </c>
      <c r="I182" s="45">
        <f>ROUND(F182*AP182,2)</f>
      </c>
      <c r="J182" s="45">
        <f>ROUND(F182*G182,2)</f>
      </c>
      <c r="K182" s="46" t="s">
        <v>54</v>
      </c>
      <c r="Z182" s="45">
        <f>ROUND(IF(AQ182="5",BJ182,0),2)</f>
      </c>
      <c r="AB182" s="45">
        <f>ROUND(IF(AQ182="1",BH182,0),2)</f>
      </c>
      <c r="AC182" s="45">
        <f>ROUND(IF(AQ182="1",BI182,0),2)</f>
      </c>
      <c r="AD182" s="45">
        <f>ROUND(IF(AQ182="7",BH182,0),2)</f>
      </c>
      <c r="AE182" s="45">
        <f>ROUND(IF(AQ182="7",BI182,0),2)</f>
      </c>
      <c r="AF182" s="45">
        <f>ROUND(IF(AQ182="2",BH182,0),2)</f>
      </c>
      <c r="AG182" s="45">
        <f>ROUND(IF(AQ182="2",BI182,0),2)</f>
      </c>
      <c r="AH182" s="45">
        <f>ROUND(IF(AQ182="0",BJ182,0),2)</f>
      </c>
      <c r="AI182" s="28" t="s">
        <v>47</v>
      </c>
      <c r="AJ182" s="45">
        <f>IF(AN182=0,J182,0)</f>
      </c>
      <c r="AK182" s="45">
        <f>IF(AN182=12,J182,0)</f>
      </c>
      <c r="AL182" s="45">
        <f>IF(AN182=21,J182,0)</f>
      </c>
      <c r="AN182" s="45" t="n">
        <v>21</v>
      </c>
      <c r="AO182" s="45">
        <f>G182*0.033511706</f>
      </c>
      <c r="AP182" s="45">
        <f>G182*(1-0.033511706)</f>
      </c>
      <c r="AQ182" s="47" t="s">
        <v>88</v>
      </c>
      <c r="AV182" s="45">
        <f>ROUND(AW182+AX182,2)</f>
      </c>
      <c r="AW182" s="45">
        <f>ROUND(F182*AO182,2)</f>
      </c>
      <c r="AX182" s="45">
        <f>ROUND(F182*AP182,2)</f>
      </c>
      <c r="AY182" s="47" t="s">
        <v>337</v>
      </c>
      <c r="AZ182" s="47" t="s">
        <v>338</v>
      </c>
      <c r="BA182" s="28" t="s">
        <v>57</v>
      </c>
      <c r="BC182" s="45">
        <f>AW182+AX182</f>
      </c>
      <c r="BD182" s="45">
        <f>G182/(100-BE182)*100</f>
      </c>
      <c r="BE182" s="45" t="n">
        <v>0</v>
      </c>
      <c r="BF182" s="45">
        <f>182</f>
      </c>
      <c r="BH182" s="45">
        <f>F182*AO182</f>
      </c>
      <c r="BI182" s="45">
        <f>F182*AP182</f>
      </c>
      <c r="BJ182" s="45">
        <f>F182*G182</f>
      </c>
      <c r="BK182" s="45"/>
      <c r="BL182" s="45" t="n">
        <v>762</v>
      </c>
      <c r="BW182" s="45" t="n">
        <v>21</v>
      </c>
      <c r="BX182" s="14" t="s">
        <v>352</v>
      </c>
    </row>
    <row r="183">
      <c r="A183" s="48"/>
      <c r="C183" s="49" t="s">
        <v>353</v>
      </c>
      <c r="D183" s="49" t="s">
        <v>47</v>
      </c>
      <c r="F183" s="50" t="n">
        <v>80</v>
      </c>
      <c r="K183" s="51"/>
    </row>
    <row r="184">
      <c r="A184" s="9" t="s">
        <v>251</v>
      </c>
      <c r="B184" s="10" t="s">
        <v>354</v>
      </c>
      <c r="C184" s="14" t="s">
        <v>355</v>
      </c>
      <c r="D184" s="10"/>
      <c r="E184" s="10" t="s">
        <v>112</v>
      </c>
      <c r="F184" s="45" t="n">
        <v>70.06</v>
      </c>
      <c r="G184" s="45" t="n">
        <v>0</v>
      </c>
      <c r="H184" s="45">
        <f>ROUND(F184*AO184,2)</f>
      </c>
      <c r="I184" s="45">
        <f>ROUND(F184*AP184,2)</f>
      </c>
      <c r="J184" s="45">
        <f>ROUND(F184*G184,2)</f>
      </c>
      <c r="K184" s="46" t="s">
        <v>54</v>
      </c>
      <c r="Z184" s="45">
        <f>ROUND(IF(AQ184="5",BJ184,0),2)</f>
      </c>
      <c r="AB184" s="45">
        <f>ROUND(IF(AQ184="1",BH184,0),2)</f>
      </c>
      <c r="AC184" s="45">
        <f>ROUND(IF(AQ184="1",BI184,0),2)</f>
      </c>
      <c r="AD184" s="45">
        <f>ROUND(IF(AQ184="7",BH184,0),2)</f>
      </c>
      <c r="AE184" s="45">
        <f>ROUND(IF(AQ184="7",BI184,0),2)</f>
      </c>
      <c r="AF184" s="45">
        <f>ROUND(IF(AQ184="2",BH184,0),2)</f>
      </c>
      <c r="AG184" s="45">
        <f>ROUND(IF(AQ184="2",BI184,0),2)</f>
      </c>
      <c r="AH184" s="45">
        <f>ROUND(IF(AQ184="0",BJ184,0),2)</f>
      </c>
      <c r="AI184" s="28" t="s">
        <v>47</v>
      </c>
      <c r="AJ184" s="45">
        <f>IF(AN184=0,J184,0)</f>
      </c>
      <c r="AK184" s="45">
        <f>IF(AN184=12,J184,0)</f>
      </c>
      <c r="AL184" s="45">
        <f>IF(AN184=21,J184,0)</f>
      </c>
      <c r="AN184" s="45" t="n">
        <v>21</v>
      </c>
      <c r="AO184" s="45">
        <f>G184*0.542883145</f>
      </c>
      <c r="AP184" s="45">
        <f>G184*(1-0.542883145)</f>
      </c>
      <c r="AQ184" s="47" t="s">
        <v>88</v>
      </c>
      <c r="AV184" s="45">
        <f>ROUND(AW184+AX184,2)</f>
      </c>
      <c r="AW184" s="45">
        <f>ROUND(F184*AO184,2)</f>
      </c>
      <c r="AX184" s="45">
        <f>ROUND(F184*AP184,2)</f>
      </c>
      <c r="AY184" s="47" t="s">
        <v>337</v>
      </c>
      <c r="AZ184" s="47" t="s">
        <v>338</v>
      </c>
      <c r="BA184" s="28" t="s">
        <v>57</v>
      </c>
      <c r="BC184" s="45">
        <f>AW184+AX184</f>
      </c>
      <c r="BD184" s="45">
        <f>G184/(100-BE184)*100</f>
      </c>
      <c r="BE184" s="45" t="n">
        <v>0</v>
      </c>
      <c r="BF184" s="45">
        <f>184</f>
      </c>
      <c r="BH184" s="45">
        <f>F184*AO184</f>
      </c>
      <c r="BI184" s="45">
        <f>F184*AP184</f>
      </c>
      <c r="BJ184" s="45">
        <f>F184*G184</f>
      </c>
      <c r="BK184" s="45"/>
      <c r="BL184" s="45" t="n">
        <v>762</v>
      </c>
      <c r="BW184" s="45" t="n">
        <v>21</v>
      </c>
      <c r="BX184" s="14" t="s">
        <v>355</v>
      </c>
    </row>
    <row r="185" customHeight="true" ht="13.5">
      <c r="A185" s="48"/>
      <c r="B185" s="57" t="s">
        <v>92</v>
      </c>
      <c r="C185" s="58" t="s">
        <v>356</v>
      </c>
      <c r="D185" s="49"/>
      <c r="E185" s="49"/>
      <c r="F185" s="49"/>
      <c r="G185" s="49"/>
      <c r="H185" s="49"/>
      <c r="I185" s="49"/>
      <c r="J185" s="49"/>
      <c r="K185" s="59"/>
    </row>
    <row r="186">
      <c r="A186" s="48"/>
      <c r="C186" s="49" t="s">
        <v>357</v>
      </c>
      <c r="D186" s="49" t="s">
        <v>47</v>
      </c>
      <c r="F186" s="50" t="n">
        <v>70.06</v>
      </c>
      <c r="K186" s="51"/>
    </row>
    <row r="187">
      <c r="A187" s="9" t="s">
        <v>265</v>
      </c>
      <c r="B187" s="10" t="s">
        <v>358</v>
      </c>
      <c r="C187" s="14" t="s">
        <v>359</v>
      </c>
      <c r="D187" s="10"/>
      <c r="E187" s="10" t="s">
        <v>112</v>
      </c>
      <c r="F187" s="45" t="n">
        <v>70.06</v>
      </c>
      <c r="G187" s="45" t="n">
        <v>0</v>
      </c>
      <c r="H187" s="45">
        <f>ROUND(F187*AO187,2)</f>
      </c>
      <c r="I187" s="45">
        <f>ROUND(F187*AP187,2)</f>
      </c>
      <c r="J187" s="45">
        <f>ROUND(F187*G187,2)</f>
      </c>
      <c r="K187" s="46" t="s">
        <v>54</v>
      </c>
      <c r="Z187" s="45">
        <f>ROUND(IF(AQ187="5",BJ187,0),2)</f>
      </c>
      <c r="AB187" s="45">
        <f>ROUND(IF(AQ187="1",BH187,0),2)</f>
      </c>
      <c r="AC187" s="45">
        <f>ROUND(IF(AQ187="1",BI187,0),2)</f>
      </c>
      <c r="AD187" s="45">
        <f>ROUND(IF(AQ187="7",BH187,0),2)</f>
      </c>
      <c r="AE187" s="45">
        <f>ROUND(IF(AQ187="7",BI187,0),2)</f>
      </c>
      <c r="AF187" s="45">
        <f>ROUND(IF(AQ187="2",BH187,0),2)</f>
      </c>
      <c r="AG187" s="45">
        <f>ROUND(IF(AQ187="2",BI187,0),2)</f>
      </c>
      <c r="AH187" s="45">
        <f>ROUND(IF(AQ187="0",BJ187,0),2)</f>
      </c>
      <c r="AI187" s="28" t="s">
        <v>47</v>
      </c>
      <c r="AJ187" s="45">
        <f>IF(AN187=0,J187,0)</f>
      </c>
      <c r="AK187" s="45">
        <f>IF(AN187=12,J187,0)</f>
      </c>
      <c r="AL187" s="45">
        <f>IF(AN187=21,J187,0)</f>
      </c>
      <c r="AN187" s="45" t="n">
        <v>21</v>
      </c>
      <c r="AO187" s="45">
        <f>G187*0.358373546</f>
      </c>
      <c r="AP187" s="45">
        <f>G187*(1-0.358373546)</f>
      </c>
      <c r="AQ187" s="47" t="s">
        <v>88</v>
      </c>
      <c r="AV187" s="45">
        <f>ROUND(AW187+AX187,2)</f>
      </c>
      <c r="AW187" s="45">
        <f>ROUND(F187*AO187,2)</f>
      </c>
      <c r="AX187" s="45">
        <f>ROUND(F187*AP187,2)</f>
      </c>
      <c r="AY187" s="47" t="s">
        <v>337</v>
      </c>
      <c r="AZ187" s="47" t="s">
        <v>338</v>
      </c>
      <c r="BA187" s="28" t="s">
        <v>57</v>
      </c>
      <c r="BC187" s="45">
        <f>AW187+AX187</f>
      </c>
      <c r="BD187" s="45">
        <f>G187/(100-BE187)*100</f>
      </c>
      <c r="BE187" s="45" t="n">
        <v>0</v>
      </c>
      <c r="BF187" s="45">
        <f>187</f>
      </c>
      <c r="BH187" s="45">
        <f>F187*AO187</f>
      </c>
      <c r="BI187" s="45">
        <f>F187*AP187</f>
      </c>
      <c r="BJ187" s="45">
        <f>F187*G187</f>
      </c>
      <c r="BK187" s="45"/>
      <c r="BL187" s="45" t="n">
        <v>762</v>
      </c>
      <c r="BW187" s="45" t="n">
        <v>21</v>
      </c>
      <c r="BX187" s="14" t="s">
        <v>359</v>
      </c>
    </row>
    <row r="188" customHeight="true" ht="13.5">
      <c r="A188" s="48"/>
      <c r="B188" s="57" t="s">
        <v>92</v>
      </c>
      <c r="C188" s="58" t="s">
        <v>360</v>
      </c>
      <c r="D188" s="49"/>
      <c r="E188" s="49"/>
      <c r="F188" s="49"/>
      <c r="G188" s="49"/>
      <c r="H188" s="49"/>
      <c r="I188" s="49"/>
      <c r="J188" s="49"/>
      <c r="K188" s="59"/>
    </row>
    <row r="189">
      <c r="A189" s="48"/>
      <c r="C189" s="49" t="s">
        <v>357</v>
      </c>
      <c r="D189" s="49" t="s">
        <v>47</v>
      </c>
      <c r="F189" s="50" t="n">
        <v>70.06</v>
      </c>
      <c r="K189" s="51"/>
    </row>
    <row r="190">
      <c r="A190" s="9" t="s">
        <v>274</v>
      </c>
      <c r="B190" s="10" t="s">
        <v>361</v>
      </c>
      <c r="C190" s="14" t="s">
        <v>362</v>
      </c>
      <c r="D190" s="10"/>
      <c r="E190" s="10" t="s">
        <v>153</v>
      </c>
      <c r="F190" s="45" t="n">
        <v>1.94067</v>
      </c>
      <c r="G190" s="45" t="n">
        <v>0</v>
      </c>
      <c r="H190" s="45">
        <f>ROUND(F190*AO190,2)</f>
      </c>
      <c r="I190" s="45">
        <f>ROUND(F190*AP190,2)</f>
      </c>
      <c r="J190" s="45">
        <f>ROUND(F190*G190,2)</f>
      </c>
      <c r="K190" s="46" t="s">
        <v>54</v>
      </c>
      <c r="Z190" s="45">
        <f>ROUND(IF(AQ190="5",BJ190,0),2)</f>
      </c>
      <c r="AB190" s="45">
        <f>ROUND(IF(AQ190="1",BH190,0),2)</f>
      </c>
      <c r="AC190" s="45">
        <f>ROUND(IF(AQ190="1",BI190,0),2)</f>
      </c>
      <c r="AD190" s="45">
        <f>ROUND(IF(AQ190="7",BH190,0),2)</f>
      </c>
      <c r="AE190" s="45">
        <f>ROUND(IF(AQ190="7",BI190,0),2)</f>
      </c>
      <c r="AF190" s="45">
        <f>ROUND(IF(AQ190="2",BH190,0),2)</f>
      </c>
      <c r="AG190" s="45">
        <f>ROUND(IF(AQ190="2",BI190,0),2)</f>
      </c>
      <c r="AH190" s="45">
        <f>ROUND(IF(AQ190="0",BJ190,0),2)</f>
      </c>
      <c r="AI190" s="28" t="s">
        <v>47</v>
      </c>
      <c r="AJ190" s="45">
        <f>IF(AN190=0,J190,0)</f>
      </c>
      <c r="AK190" s="45">
        <f>IF(AN190=12,J190,0)</f>
      </c>
      <c r="AL190" s="45">
        <f>IF(AN190=21,J190,0)</f>
      </c>
      <c r="AN190" s="45" t="n">
        <v>21</v>
      </c>
      <c r="AO190" s="45">
        <f>G190*0</f>
      </c>
      <c r="AP190" s="45">
        <f>G190*(1-0)</f>
      </c>
      <c r="AQ190" s="47" t="s">
        <v>74</v>
      </c>
      <c r="AV190" s="45">
        <f>ROUND(AW190+AX190,2)</f>
      </c>
      <c r="AW190" s="45">
        <f>ROUND(F190*AO190,2)</f>
      </c>
      <c r="AX190" s="45">
        <f>ROUND(F190*AP190,2)</f>
      </c>
      <c r="AY190" s="47" t="s">
        <v>337</v>
      </c>
      <c r="AZ190" s="47" t="s">
        <v>338</v>
      </c>
      <c r="BA190" s="28" t="s">
        <v>57</v>
      </c>
      <c r="BC190" s="45">
        <f>AW190+AX190</f>
      </c>
      <c r="BD190" s="45">
        <f>G190/(100-BE190)*100</f>
      </c>
      <c r="BE190" s="45" t="n">
        <v>0</v>
      </c>
      <c r="BF190" s="45">
        <f>190</f>
      </c>
      <c r="BH190" s="45">
        <f>F190*AO190</f>
      </c>
      <c r="BI190" s="45">
        <f>F190*AP190</f>
      </c>
      <c r="BJ190" s="45">
        <f>F190*G190</f>
      </c>
      <c r="BK190" s="45"/>
      <c r="BL190" s="45" t="n">
        <v>762</v>
      </c>
      <c r="BW190" s="45" t="n">
        <v>21</v>
      </c>
      <c r="BX190" s="14" t="s">
        <v>362</v>
      </c>
    </row>
    <row r="191">
      <c r="A191" s="52" t="s">
        <v>47</v>
      </c>
      <c r="B191" s="53" t="s">
        <v>363</v>
      </c>
      <c r="C191" s="54" t="s">
        <v>364</v>
      </c>
      <c r="D191" s="53"/>
      <c r="E191" s="55" t="s">
        <v>4</v>
      </c>
      <c r="F191" s="55" t="s">
        <v>4</v>
      </c>
      <c r="G191" s="55" t="s">
        <v>4</v>
      </c>
      <c r="H191" s="2">
        <f>SUM(H192:H227)</f>
      </c>
      <c r="I191" s="2">
        <f>SUM(I192:I227)</f>
      </c>
      <c r="J191" s="2">
        <f>SUM(J192:J227)</f>
      </c>
      <c r="K191" s="56" t="s">
        <v>47</v>
      </c>
      <c r="AI191" s="28" t="s">
        <v>47</v>
      </c>
      <c r="AS191" s="2">
        <f>SUM(AJ192:AJ227)</f>
      </c>
      <c r="AT191" s="2">
        <f>SUM(AK192:AK227)</f>
      </c>
      <c r="AU191" s="2">
        <f>SUM(AL192:AL227)</f>
      </c>
    </row>
    <row r="192">
      <c r="A192" s="9" t="s">
        <v>365</v>
      </c>
      <c r="B192" s="10" t="s">
        <v>366</v>
      </c>
      <c r="C192" s="14" t="s">
        <v>367</v>
      </c>
      <c r="D192" s="10"/>
      <c r="E192" s="10" t="s">
        <v>112</v>
      </c>
      <c r="F192" s="45" t="n">
        <v>79.28</v>
      </c>
      <c r="G192" s="45" t="n">
        <v>0</v>
      </c>
      <c r="H192" s="45">
        <f>ROUND(F192*AO192,2)</f>
      </c>
      <c r="I192" s="45">
        <f>ROUND(F192*AP192,2)</f>
      </c>
      <c r="J192" s="45">
        <f>ROUND(F192*G192,2)</f>
      </c>
      <c r="K192" s="46" t="s">
        <v>54</v>
      </c>
      <c r="Z192" s="45">
        <f>ROUND(IF(AQ192="5",BJ192,0),2)</f>
      </c>
      <c r="AB192" s="45">
        <f>ROUND(IF(AQ192="1",BH192,0),2)</f>
      </c>
      <c r="AC192" s="45">
        <f>ROUND(IF(AQ192="1",BI192,0),2)</f>
      </c>
      <c r="AD192" s="45">
        <f>ROUND(IF(AQ192="7",BH192,0),2)</f>
      </c>
      <c r="AE192" s="45">
        <f>ROUND(IF(AQ192="7",BI192,0),2)</f>
      </c>
      <c r="AF192" s="45">
        <f>ROUND(IF(AQ192="2",BH192,0),2)</f>
      </c>
      <c r="AG192" s="45">
        <f>ROUND(IF(AQ192="2",BI192,0),2)</f>
      </c>
      <c r="AH192" s="45">
        <f>ROUND(IF(AQ192="0",BJ192,0),2)</f>
      </c>
      <c r="AI192" s="28" t="s">
        <v>47</v>
      </c>
      <c r="AJ192" s="45">
        <f>IF(AN192=0,J192,0)</f>
      </c>
      <c r="AK192" s="45">
        <f>IF(AN192=12,J192,0)</f>
      </c>
      <c r="AL192" s="45">
        <f>IF(AN192=21,J192,0)</f>
      </c>
      <c r="AN192" s="45" t="n">
        <v>21</v>
      </c>
      <c r="AO192" s="45">
        <f>G192*0</f>
      </c>
      <c r="AP192" s="45">
        <f>G192*(1-0)</f>
      </c>
      <c r="AQ192" s="47" t="s">
        <v>88</v>
      </c>
      <c r="AV192" s="45">
        <f>ROUND(AW192+AX192,2)</f>
      </c>
      <c r="AW192" s="45">
        <f>ROUND(F192*AO192,2)</f>
      </c>
      <c r="AX192" s="45">
        <f>ROUND(F192*AP192,2)</f>
      </c>
      <c r="AY192" s="47" t="s">
        <v>368</v>
      </c>
      <c r="AZ192" s="47" t="s">
        <v>338</v>
      </c>
      <c r="BA192" s="28" t="s">
        <v>57</v>
      </c>
      <c r="BC192" s="45">
        <f>AW192+AX192</f>
      </c>
      <c r="BD192" s="45">
        <f>G192/(100-BE192)*100</f>
      </c>
      <c r="BE192" s="45" t="n">
        <v>0</v>
      </c>
      <c r="BF192" s="45">
        <f>192</f>
      </c>
      <c r="BH192" s="45">
        <f>F192*AO192</f>
      </c>
      <c r="BI192" s="45">
        <f>F192*AP192</f>
      </c>
      <c r="BJ192" s="45">
        <f>F192*G192</f>
      </c>
      <c r="BK192" s="45"/>
      <c r="BL192" s="45" t="n">
        <v>764</v>
      </c>
      <c r="BW192" s="45" t="n">
        <v>21</v>
      </c>
      <c r="BX192" s="14" t="s">
        <v>367</v>
      </c>
    </row>
    <row r="193" customHeight="true" ht="13.5">
      <c r="A193" s="48"/>
      <c r="B193" s="57" t="s">
        <v>92</v>
      </c>
      <c r="C193" s="58" t="s">
        <v>369</v>
      </c>
      <c r="D193" s="49"/>
      <c r="E193" s="49"/>
      <c r="F193" s="49"/>
      <c r="G193" s="49"/>
      <c r="H193" s="49"/>
      <c r="I193" s="49"/>
      <c r="J193" s="49"/>
      <c r="K193" s="59"/>
    </row>
    <row r="194">
      <c r="A194" s="48"/>
      <c r="C194" s="49" t="s">
        <v>340</v>
      </c>
      <c r="D194" s="49" t="s">
        <v>47</v>
      </c>
      <c r="F194" s="50" t="n">
        <v>37.04</v>
      </c>
      <c r="K194" s="51"/>
    </row>
    <row r="195">
      <c r="A195" s="48"/>
      <c r="C195" s="49" t="s">
        <v>341</v>
      </c>
      <c r="D195" s="49" t="s">
        <v>47</v>
      </c>
      <c r="F195" s="50" t="n">
        <v>42.24</v>
      </c>
      <c r="K195" s="51"/>
    </row>
    <row r="196">
      <c r="A196" s="9" t="s">
        <v>370</v>
      </c>
      <c r="B196" s="10" t="s">
        <v>371</v>
      </c>
      <c r="C196" s="14" t="s">
        <v>372</v>
      </c>
      <c r="D196" s="10"/>
      <c r="E196" s="10" t="s">
        <v>112</v>
      </c>
      <c r="F196" s="45" t="n">
        <v>70.06</v>
      </c>
      <c r="G196" s="45" t="n">
        <v>0</v>
      </c>
      <c r="H196" s="45">
        <f>ROUND(F196*AO196,2)</f>
      </c>
      <c r="I196" s="45">
        <f>ROUND(F196*AP196,2)</f>
      </c>
      <c r="J196" s="45">
        <f>ROUND(F196*G196,2)</f>
      </c>
      <c r="K196" s="46" t="s">
        <v>54</v>
      </c>
      <c r="Z196" s="45">
        <f>ROUND(IF(AQ196="5",BJ196,0),2)</f>
      </c>
      <c r="AB196" s="45">
        <f>ROUND(IF(AQ196="1",BH196,0),2)</f>
      </c>
      <c r="AC196" s="45">
        <f>ROUND(IF(AQ196="1",BI196,0),2)</f>
      </c>
      <c r="AD196" s="45">
        <f>ROUND(IF(AQ196="7",BH196,0),2)</f>
      </c>
      <c r="AE196" s="45">
        <f>ROUND(IF(AQ196="7",BI196,0),2)</f>
      </c>
      <c r="AF196" s="45">
        <f>ROUND(IF(AQ196="2",BH196,0),2)</f>
      </c>
      <c r="AG196" s="45">
        <f>ROUND(IF(AQ196="2",BI196,0),2)</f>
      </c>
      <c r="AH196" s="45">
        <f>ROUND(IF(AQ196="0",BJ196,0),2)</f>
      </c>
      <c r="AI196" s="28" t="s">
        <v>47</v>
      </c>
      <c r="AJ196" s="45">
        <f>IF(AN196=0,J196,0)</f>
      </c>
      <c r="AK196" s="45">
        <f>IF(AN196=12,J196,0)</f>
      </c>
      <c r="AL196" s="45">
        <f>IF(AN196=21,J196,0)</f>
      </c>
      <c r="AN196" s="45" t="n">
        <v>21</v>
      </c>
      <c r="AO196" s="45">
        <f>G196*0.777934366</f>
      </c>
      <c r="AP196" s="45">
        <f>G196*(1-0.777934366)</f>
      </c>
      <c r="AQ196" s="47" t="s">
        <v>88</v>
      </c>
      <c r="AV196" s="45">
        <f>ROUND(AW196+AX196,2)</f>
      </c>
      <c r="AW196" s="45">
        <f>ROUND(F196*AO196,2)</f>
      </c>
      <c r="AX196" s="45">
        <f>ROUND(F196*AP196,2)</f>
      </c>
      <c r="AY196" s="47" t="s">
        <v>368</v>
      </c>
      <c r="AZ196" s="47" t="s">
        <v>338</v>
      </c>
      <c r="BA196" s="28" t="s">
        <v>57</v>
      </c>
      <c r="BC196" s="45">
        <f>AW196+AX196</f>
      </c>
      <c r="BD196" s="45">
        <f>G196/(100-BE196)*100</f>
      </c>
      <c r="BE196" s="45" t="n">
        <v>0</v>
      </c>
      <c r="BF196" s="45">
        <f>196</f>
      </c>
      <c r="BH196" s="45">
        <f>F196*AO196</f>
      </c>
      <c r="BI196" s="45">
        <f>F196*AP196</f>
      </c>
      <c r="BJ196" s="45">
        <f>F196*G196</f>
      </c>
      <c r="BK196" s="45"/>
      <c r="BL196" s="45" t="n">
        <v>764</v>
      </c>
      <c r="BW196" s="45" t="n">
        <v>21</v>
      </c>
      <c r="BX196" s="14" t="s">
        <v>372</v>
      </c>
    </row>
    <row r="197" customHeight="true" ht="13.5">
      <c r="A197" s="48"/>
      <c r="B197" s="57" t="s">
        <v>92</v>
      </c>
      <c r="C197" s="58" t="s">
        <v>373</v>
      </c>
      <c r="D197" s="49"/>
      <c r="E197" s="49"/>
      <c r="F197" s="49"/>
      <c r="G197" s="49"/>
      <c r="H197" s="49"/>
      <c r="I197" s="49"/>
      <c r="J197" s="49"/>
      <c r="K197" s="59"/>
    </row>
    <row r="198">
      <c r="A198" s="48"/>
      <c r="C198" s="49" t="s">
        <v>357</v>
      </c>
      <c r="D198" s="49" t="s">
        <v>47</v>
      </c>
      <c r="F198" s="50" t="n">
        <v>70.06</v>
      </c>
      <c r="K198" s="51"/>
    </row>
    <row r="199">
      <c r="A199" s="9" t="s">
        <v>374</v>
      </c>
      <c r="B199" s="10" t="s">
        <v>375</v>
      </c>
      <c r="C199" s="14" t="s">
        <v>376</v>
      </c>
      <c r="D199" s="10"/>
      <c r="E199" s="10" t="s">
        <v>112</v>
      </c>
      <c r="F199" s="45" t="n">
        <v>70.6</v>
      </c>
      <c r="G199" s="45" t="n">
        <v>0</v>
      </c>
      <c r="H199" s="45">
        <f>ROUND(F199*AO199,2)</f>
      </c>
      <c r="I199" s="45">
        <f>ROUND(F199*AP199,2)</f>
      </c>
      <c r="J199" s="45">
        <f>ROUND(F199*G199,2)</f>
      </c>
      <c r="K199" s="46" t="s">
        <v>54</v>
      </c>
      <c r="Z199" s="45">
        <f>ROUND(IF(AQ199="5",BJ199,0),2)</f>
      </c>
      <c r="AB199" s="45">
        <f>ROUND(IF(AQ199="1",BH199,0),2)</f>
      </c>
      <c r="AC199" s="45">
        <f>ROUND(IF(AQ199="1",BI199,0),2)</f>
      </c>
      <c r="AD199" s="45">
        <f>ROUND(IF(AQ199="7",BH199,0),2)</f>
      </c>
      <c r="AE199" s="45">
        <f>ROUND(IF(AQ199="7",BI199,0),2)</f>
      </c>
      <c r="AF199" s="45">
        <f>ROUND(IF(AQ199="2",BH199,0),2)</f>
      </c>
      <c r="AG199" s="45">
        <f>ROUND(IF(AQ199="2",BI199,0),2)</f>
      </c>
      <c r="AH199" s="45">
        <f>ROUND(IF(AQ199="0",BJ199,0),2)</f>
      </c>
      <c r="AI199" s="28" t="s">
        <v>47</v>
      </c>
      <c r="AJ199" s="45">
        <f>IF(AN199=0,J199,0)</f>
      </c>
      <c r="AK199" s="45">
        <f>IF(AN199=12,J199,0)</f>
      </c>
      <c r="AL199" s="45">
        <f>IF(AN199=21,J199,0)</f>
      </c>
      <c r="AN199" s="45" t="n">
        <v>21</v>
      </c>
      <c r="AO199" s="45">
        <f>G199*0</f>
      </c>
      <c r="AP199" s="45">
        <f>G199*(1-0)</f>
      </c>
      <c r="AQ199" s="47" t="s">
        <v>88</v>
      </c>
      <c r="AV199" s="45">
        <f>ROUND(AW199+AX199,2)</f>
      </c>
      <c r="AW199" s="45">
        <f>ROUND(F199*AO199,2)</f>
      </c>
      <c r="AX199" s="45">
        <f>ROUND(F199*AP199,2)</f>
      </c>
      <c r="AY199" s="47" t="s">
        <v>368</v>
      </c>
      <c r="AZ199" s="47" t="s">
        <v>338</v>
      </c>
      <c r="BA199" s="28" t="s">
        <v>57</v>
      </c>
      <c r="BC199" s="45">
        <f>AW199+AX199</f>
      </c>
      <c r="BD199" s="45">
        <f>G199/(100-BE199)*100</f>
      </c>
      <c r="BE199" s="45" t="n">
        <v>0</v>
      </c>
      <c r="BF199" s="45">
        <f>199</f>
      </c>
      <c r="BH199" s="45">
        <f>F199*AO199</f>
      </c>
      <c r="BI199" s="45">
        <f>F199*AP199</f>
      </c>
      <c r="BJ199" s="45">
        <f>F199*G199</f>
      </c>
      <c r="BK199" s="45"/>
      <c r="BL199" s="45" t="n">
        <v>764</v>
      </c>
      <c r="BW199" s="45" t="n">
        <v>21</v>
      </c>
      <c r="BX199" s="14" t="s">
        <v>376</v>
      </c>
    </row>
    <row r="200">
      <c r="A200" s="48"/>
      <c r="C200" s="49" t="s">
        <v>377</v>
      </c>
      <c r="D200" s="49" t="s">
        <v>47</v>
      </c>
      <c r="F200" s="50" t="n">
        <v>70.6</v>
      </c>
      <c r="K200" s="51"/>
    </row>
    <row r="201">
      <c r="A201" s="9" t="s">
        <v>378</v>
      </c>
      <c r="B201" s="10" t="s">
        <v>379</v>
      </c>
      <c r="C201" s="14" t="s">
        <v>380</v>
      </c>
      <c r="D201" s="10"/>
      <c r="E201" s="10" t="s">
        <v>221</v>
      </c>
      <c r="F201" s="45" t="n">
        <v>9.2</v>
      </c>
      <c r="G201" s="45" t="n">
        <v>0</v>
      </c>
      <c r="H201" s="45">
        <f>ROUND(F201*AO201,2)</f>
      </c>
      <c r="I201" s="45">
        <f>ROUND(F201*AP201,2)</f>
      </c>
      <c r="J201" s="45">
        <f>ROUND(F201*G201,2)</f>
      </c>
      <c r="K201" s="46" t="s">
        <v>54</v>
      </c>
      <c r="Z201" s="45">
        <f>ROUND(IF(AQ201="5",BJ201,0),2)</f>
      </c>
      <c r="AB201" s="45">
        <f>ROUND(IF(AQ201="1",BH201,0),2)</f>
      </c>
      <c r="AC201" s="45">
        <f>ROUND(IF(AQ201="1",BI201,0),2)</f>
      </c>
      <c r="AD201" s="45">
        <f>ROUND(IF(AQ201="7",BH201,0),2)</f>
      </c>
      <c r="AE201" s="45">
        <f>ROUND(IF(AQ201="7",BI201,0),2)</f>
      </c>
      <c r="AF201" s="45">
        <f>ROUND(IF(AQ201="2",BH201,0),2)</f>
      </c>
      <c r="AG201" s="45">
        <f>ROUND(IF(AQ201="2",BI201,0),2)</f>
      </c>
      <c r="AH201" s="45">
        <f>ROUND(IF(AQ201="0",BJ201,0),2)</f>
      </c>
      <c r="AI201" s="28" t="s">
        <v>47</v>
      </c>
      <c r="AJ201" s="45">
        <f>IF(AN201=0,J201,0)</f>
      </c>
      <c r="AK201" s="45">
        <f>IF(AN201=12,J201,0)</f>
      </c>
      <c r="AL201" s="45">
        <f>IF(AN201=21,J201,0)</f>
      </c>
      <c r="AN201" s="45" t="n">
        <v>21</v>
      </c>
      <c r="AO201" s="45">
        <f>G201*0.680424737</f>
      </c>
      <c r="AP201" s="45">
        <f>G201*(1-0.680424737)</f>
      </c>
      <c r="AQ201" s="47" t="s">
        <v>88</v>
      </c>
      <c r="AV201" s="45">
        <f>ROUND(AW201+AX201,2)</f>
      </c>
      <c r="AW201" s="45">
        <f>ROUND(F201*AO201,2)</f>
      </c>
      <c r="AX201" s="45">
        <f>ROUND(F201*AP201,2)</f>
      </c>
      <c r="AY201" s="47" t="s">
        <v>368</v>
      </c>
      <c r="AZ201" s="47" t="s">
        <v>338</v>
      </c>
      <c r="BA201" s="28" t="s">
        <v>57</v>
      </c>
      <c r="BC201" s="45">
        <f>AW201+AX201</f>
      </c>
      <c r="BD201" s="45">
        <f>G201/(100-BE201)*100</f>
      </c>
      <c r="BE201" s="45" t="n">
        <v>0</v>
      </c>
      <c r="BF201" s="45">
        <f>201</f>
      </c>
      <c r="BH201" s="45">
        <f>F201*AO201</f>
      </c>
      <c r="BI201" s="45">
        <f>F201*AP201</f>
      </c>
      <c r="BJ201" s="45">
        <f>F201*G201</f>
      </c>
      <c r="BK201" s="45"/>
      <c r="BL201" s="45" t="n">
        <v>764</v>
      </c>
      <c r="BW201" s="45" t="n">
        <v>21</v>
      </c>
      <c r="BX201" s="14" t="s">
        <v>380</v>
      </c>
    </row>
    <row r="202" customHeight="true" ht="13.5">
      <c r="A202" s="48"/>
      <c r="B202" s="57" t="s">
        <v>92</v>
      </c>
      <c r="C202" s="58" t="s">
        <v>381</v>
      </c>
      <c r="D202" s="49"/>
      <c r="E202" s="49"/>
      <c r="F202" s="49"/>
      <c r="G202" s="49"/>
      <c r="H202" s="49"/>
      <c r="I202" s="49"/>
      <c r="J202" s="49"/>
      <c r="K202" s="59"/>
    </row>
    <row r="203">
      <c r="A203" s="48"/>
      <c r="C203" s="49" t="s">
        <v>382</v>
      </c>
      <c r="D203" s="49" t="s">
        <v>47</v>
      </c>
      <c r="F203" s="50" t="n">
        <v>9.2</v>
      </c>
      <c r="K203" s="51"/>
    </row>
    <row r="204">
      <c r="A204" s="9" t="s">
        <v>383</v>
      </c>
      <c r="B204" s="10" t="s">
        <v>384</v>
      </c>
      <c r="C204" s="14" t="s">
        <v>385</v>
      </c>
      <c r="D204" s="10"/>
      <c r="E204" s="10" t="s">
        <v>221</v>
      </c>
      <c r="F204" s="45" t="n">
        <v>14.2</v>
      </c>
      <c r="G204" s="45" t="n">
        <v>0</v>
      </c>
      <c r="H204" s="45">
        <f>ROUND(F204*AO204,2)</f>
      </c>
      <c r="I204" s="45">
        <f>ROUND(F204*AP204,2)</f>
      </c>
      <c r="J204" s="45">
        <f>ROUND(F204*G204,2)</f>
      </c>
      <c r="K204" s="46" t="s">
        <v>54</v>
      </c>
      <c r="Z204" s="45">
        <f>ROUND(IF(AQ204="5",BJ204,0),2)</f>
      </c>
      <c r="AB204" s="45">
        <f>ROUND(IF(AQ204="1",BH204,0),2)</f>
      </c>
      <c r="AC204" s="45">
        <f>ROUND(IF(AQ204="1",BI204,0),2)</f>
      </c>
      <c r="AD204" s="45">
        <f>ROUND(IF(AQ204="7",BH204,0),2)</f>
      </c>
      <c r="AE204" s="45">
        <f>ROUND(IF(AQ204="7",BI204,0),2)</f>
      </c>
      <c r="AF204" s="45">
        <f>ROUND(IF(AQ204="2",BH204,0),2)</f>
      </c>
      <c r="AG204" s="45">
        <f>ROUND(IF(AQ204="2",BI204,0),2)</f>
      </c>
      <c r="AH204" s="45">
        <f>ROUND(IF(AQ204="0",BJ204,0),2)</f>
      </c>
      <c r="AI204" s="28" t="s">
        <v>47</v>
      </c>
      <c r="AJ204" s="45">
        <f>IF(AN204=0,J204,0)</f>
      </c>
      <c r="AK204" s="45">
        <f>IF(AN204=12,J204,0)</f>
      </c>
      <c r="AL204" s="45">
        <f>IF(AN204=21,J204,0)</f>
      </c>
      <c r="AN204" s="45" t="n">
        <v>21</v>
      </c>
      <c r="AO204" s="45">
        <f>G204*0.81203634</f>
      </c>
      <c r="AP204" s="45">
        <f>G204*(1-0.81203634)</f>
      </c>
      <c r="AQ204" s="47" t="s">
        <v>88</v>
      </c>
      <c r="AV204" s="45">
        <f>ROUND(AW204+AX204,2)</f>
      </c>
      <c r="AW204" s="45">
        <f>ROUND(F204*AO204,2)</f>
      </c>
      <c r="AX204" s="45">
        <f>ROUND(F204*AP204,2)</f>
      </c>
      <c r="AY204" s="47" t="s">
        <v>368</v>
      </c>
      <c r="AZ204" s="47" t="s">
        <v>338</v>
      </c>
      <c r="BA204" s="28" t="s">
        <v>57</v>
      </c>
      <c r="BC204" s="45">
        <f>AW204+AX204</f>
      </c>
      <c r="BD204" s="45">
        <f>G204/(100-BE204)*100</f>
      </c>
      <c r="BE204" s="45" t="n">
        <v>0</v>
      </c>
      <c r="BF204" s="45">
        <f>204</f>
      </c>
      <c r="BH204" s="45">
        <f>F204*AO204</f>
      </c>
      <c r="BI204" s="45">
        <f>F204*AP204</f>
      </c>
      <c r="BJ204" s="45">
        <f>F204*G204</f>
      </c>
      <c r="BK204" s="45"/>
      <c r="BL204" s="45" t="n">
        <v>764</v>
      </c>
      <c r="BW204" s="45" t="n">
        <v>21</v>
      </c>
      <c r="BX204" s="14" t="s">
        <v>385</v>
      </c>
    </row>
    <row r="205" customHeight="true" ht="13.5">
      <c r="A205" s="48"/>
      <c r="B205" s="57" t="s">
        <v>92</v>
      </c>
      <c r="C205" s="58" t="s">
        <v>386</v>
      </c>
      <c r="D205" s="49"/>
      <c r="E205" s="49"/>
      <c r="F205" s="49"/>
      <c r="G205" s="49"/>
      <c r="H205" s="49"/>
      <c r="I205" s="49"/>
      <c r="J205" s="49"/>
      <c r="K205" s="59"/>
    </row>
    <row r="206">
      <c r="A206" s="48"/>
      <c r="C206" s="49" t="s">
        <v>387</v>
      </c>
      <c r="D206" s="49" t="s">
        <v>47</v>
      </c>
      <c r="F206" s="50" t="n">
        <v>14.2</v>
      </c>
      <c r="K206" s="51"/>
    </row>
    <row r="207">
      <c r="A207" s="9" t="s">
        <v>388</v>
      </c>
      <c r="B207" s="10" t="s">
        <v>389</v>
      </c>
      <c r="C207" s="14" t="s">
        <v>390</v>
      </c>
      <c r="D207" s="10"/>
      <c r="E207" s="10" t="s">
        <v>221</v>
      </c>
      <c r="F207" s="45" t="n">
        <v>7.1</v>
      </c>
      <c r="G207" s="45" t="n">
        <v>0</v>
      </c>
      <c r="H207" s="45">
        <f>ROUND(F207*AO207,2)</f>
      </c>
      <c r="I207" s="45">
        <f>ROUND(F207*AP207,2)</f>
      </c>
      <c r="J207" s="45">
        <f>ROUND(F207*G207,2)</f>
      </c>
      <c r="K207" s="46" t="s">
        <v>54</v>
      </c>
      <c r="Z207" s="45">
        <f>ROUND(IF(AQ207="5",BJ207,0),2)</f>
      </c>
      <c r="AB207" s="45">
        <f>ROUND(IF(AQ207="1",BH207,0),2)</f>
      </c>
      <c r="AC207" s="45">
        <f>ROUND(IF(AQ207="1",BI207,0),2)</f>
      </c>
      <c r="AD207" s="45">
        <f>ROUND(IF(AQ207="7",BH207,0),2)</f>
      </c>
      <c r="AE207" s="45">
        <f>ROUND(IF(AQ207="7",BI207,0),2)</f>
      </c>
      <c r="AF207" s="45">
        <f>ROUND(IF(AQ207="2",BH207,0),2)</f>
      </c>
      <c r="AG207" s="45">
        <f>ROUND(IF(AQ207="2",BI207,0),2)</f>
      </c>
      <c r="AH207" s="45">
        <f>ROUND(IF(AQ207="0",BJ207,0),2)</f>
      </c>
      <c r="AI207" s="28" t="s">
        <v>47</v>
      </c>
      <c r="AJ207" s="45">
        <f>IF(AN207=0,J207,0)</f>
      </c>
      <c r="AK207" s="45">
        <f>IF(AN207=12,J207,0)</f>
      </c>
      <c r="AL207" s="45">
        <f>IF(AN207=21,J207,0)</f>
      </c>
      <c r="AN207" s="45" t="n">
        <v>21</v>
      </c>
      <c r="AO207" s="45">
        <f>G207*0.86237402</f>
      </c>
      <c r="AP207" s="45">
        <f>G207*(1-0.86237402)</f>
      </c>
      <c r="AQ207" s="47" t="s">
        <v>88</v>
      </c>
      <c r="AV207" s="45">
        <f>ROUND(AW207+AX207,2)</f>
      </c>
      <c r="AW207" s="45">
        <f>ROUND(F207*AO207,2)</f>
      </c>
      <c r="AX207" s="45">
        <f>ROUND(F207*AP207,2)</f>
      </c>
      <c r="AY207" s="47" t="s">
        <v>368</v>
      </c>
      <c r="AZ207" s="47" t="s">
        <v>338</v>
      </c>
      <c r="BA207" s="28" t="s">
        <v>57</v>
      </c>
      <c r="BC207" s="45">
        <f>AW207+AX207</f>
      </c>
      <c r="BD207" s="45">
        <f>G207/(100-BE207)*100</f>
      </c>
      <c r="BE207" s="45" t="n">
        <v>0</v>
      </c>
      <c r="BF207" s="45">
        <f>207</f>
      </c>
      <c r="BH207" s="45">
        <f>F207*AO207</f>
      </c>
      <c r="BI207" s="45">
        <f>F207*AP207</f>
      </c>
      <c r="BJ207" s="45">
        <f>F207*G207</f>
      </c>
      <c r="BK207" s="45"/>
      <c r="BL207" s="45" t="n">
        <v>764</v>
      </c>
      <c r="BW207" s="45" t="n">
        <v>21</v>
      </c>
      <c r="BX207" s="14" t="s">
        <v>390</v>
      </c>
    </row>
    <row r="208" customHeight="true" ht="13.5">
      <c r="A208" s="48"/>
      <c r="B208" s="57" t="s">
        <v>92</v>
      </c>
      <c r="C208" s="58" t="s">
        <v>391</v>
      </c>
      <c r="D208" s="49"/>
      <c r="E208" s="49"/>
      <c r="F208" s="49"/>
      <c r="G208" s="49"/>
      <c r="H208" s="49"/>
      <c r="I208" s="49"/>
      <c r="J208" s="49"/>
      <c r="K208" s="59"/>
    </row>
    <row r="209">
      <c r="A209" s="48"/>
      <c r="C209" s="49" t="s">
        <v>392</v>
      </c>
      <c r="D209" s="49" t="s">
        <v>47</v>
      </c>
      <c r="F209" s="50" t="n">
        <v>7.1</v>
      </c>
      <c r="K209" s="51"/>
    </row>
    <row r="210">
      <c r="A210" s="9" t="s">
        <v>393</v>
      </c>
      <c r="B210" s="10" t="s">
        <v>394</v>
      </c>
      <c r="C210" s="14" t="s">
        <v>395</v>
      </c>
      <c r="D210" s="10"/>
      <c r="E210" s="10" t="s">
        <v>221</v>
      </c>
      <c r="F210" s="45" t="n">
        <v>7.1</v>
      </c>
      <c r="G210" s="45" t="n">
        <v>0</v>
      </c>
      <c r="H210" s="45">
        <f>ROUND(F210*AO210,2)</f>
      </c>
      <c r="I210" s="45">
        <f>ROUND(F210*AP210,2)</f>
      </c>
      <c r="J210" s="45">
        <f>ROUND(F210*G210,2)</f>
      </c>
      <c r="K210" s="46" t="s">
        <v>54</v>
      </c>
      <c r="Z210" s="45">
        <f>ROUND(IF(AQ210="5",BJ210,0),2)</f>
      </c>
      <c r="AB210" s="45">
        <f>ROUND(IF(AQ210="1",BH210,0),2)</f>
      </c>
      <c r="AC210" s="45">
        <f>ROUND(IF(AQ210="1",BI210,0),2)</f>
      </c>
      <c r="AD210" s="45">
        <f>ROUND(IF(AQ210="7",BH210,0),2)</f>
      </c>
      <c r="AE210" s="45">
        <f>ROUND(IF(AQ210="7",BI210,0),2)</f>
      </c>
      <c r="AF210" s="45">
        <f>ROUND(IF(AQ210="2",BH210,0),2)</f>
      </c>
      <c r="AG210" s="45">
        <f>ROUND(IF(AQ210="2",BI210,0),2)</f>
      </c>
      <c r="AH210" s="45">
        <f>ROUND(IF(AQ210="0",BJ210,0),2)</f>
      </c>
      <c r="AI210" s="28" t="s">
        <v>47</v>
      </c>
      <c r="AJ210" s="45">
        <f>IF(AN210=0,J210,0)</f>
      </c>
      <c r="AK210" s="45">
        <f>IF(AN210=12,J210,0)</f>
      </c>
      <c r="AL210" s="45">
        <f>IF(AN210=21,J210,0)</f>
      </c>
      <c r="AN210" s="45" t="n">
        <v>21</v>
      </c>
      <c r="AO210" s="45">
        <f>G210*0</f>
      </c>
      <c r="AP210" s="45">
        <f>G210*(1-0)</f>
      </c>
      <c r="AQ210" s="47" t="s">
        <v>88</v>
      </c>
      <c r="AV210" s="45">
        <f>ROUND(AW210+AX210,2)</f>
      </c>
      <c r="AW210" s="45">
        <f>ROUND(F210*AO210,2)</f>
      </c>
      <c r="AX210" s="45">
        <f>ROUND(F210*AP210,2)</f>
      </c>
      <c r="AY210" s="47" t="s">
        <v>368</v>
      </c>
      <c r="AZ210" s="47" t="s">
        <v>338</v>
      </c>
      <c r="BA210" s="28" t="s">
        <v>57</v>
      </c>
      <c r="BC210" s="45">
        <f>AW210+AX210</f>
      </c>
      <c r="BD210" s="45">
        <f>G210/(100-BE210)*100</f>
      </c>
      <c r="BE210" s="45" t="n">
        <v>0</v>
      </c>
      <c r="BF210" s="45">
        <f>210</f>
      </c>
      <c r="BH210" s="45">
        <f>F210*AO210</f>
      </c>
      <c r="BI210" s="45">
        <f>F210*AP210</f>
      </c>
      <c r="BJ210" s="45">
        <f>F210*G210</f>
      </c>
      <c r="BK210" s="45"/>
      <c r="BL210" s="45" t="n">
        <v>764</v>
      </c>
      <c r="BW210" s="45" t="n">
        <v>21</v>
      </c>
      <c r="BX210" s="14" t="s">
        <v>395</v>
      </c>
    </row>
    <row r="211">
      <c r="A211" s="48"/>
      <c r="C211" s="49" t="s">
        <v>392</v>
      </c>
      <c r="D211" s="49" t="s">
        <v>47</v>
      </c>
      <c r="F211" s="50" t="n">
        <v>7.1</v>
      </c>
      <c r="K211" s="51"/>
    </row>
    <row r="212">
      <c r="A212" s="9" t="s">
        <v>396</v>
      </c>
      <c r="B212" s="10" t="s">
        <v>397</v>
      </c>
      <c r="C212" s="14" t="s">
        <v>398</v>
      </c>
      <c r="D212" s="10"/>
      <c r="E212" s="10" t="s">
        <v>221</v>
      </c>
      <c r="F212" s="45" t="n">
        <v>9.2</v>
      </c>
      <c r="G212" s="45" t="n">
        <v>0</v>
      </c>
      <c r="H212" s="45">
        <f>ROUND(F212*AO212,2)</f>
      </c>
      <c r="I212" s="45">
        <f>ROUND(F212*AP212,2)</f>
      </c>
      <c r="J212" s="45">
        <f>ROUND(F212*G212,2)</f>
      </c>
      <c r="K212" s="46" t="s">
        <v>54</v>
      </c>
      <c r="Z212" s="45">
        <f>ROUND(IF(AQ212="5",BJ212,0),2)</f>
      </c>
      <c r="AB212" s="45">
        <f>ROUND(IF(AQ212="1",BH212,0),2)</f>
      </c>
      <c r="AC212" s="45">
        <f>ROUND(IF(AQ212="1",BI212,0),2)</f>
      </c>
      <c r="AD212" s="45">
        <f>ROUND(IF(AQ212="7",BH212,0),2)</f>
      </c>
      <c r="AE212" s="45">
        <f>ROUND(IF(AQ212="7",BI212,0),2)</f>
      </c>
      <c r="AF212" s="45">
        <f>ROUND(IF(AQ212="2",BH212,0),2)</f>
      </c>
      <c r="AG212" s="45">
        <f>ROUND(IF(AQ212="2",BI212,0),2)</f>
      </c>
      <c r="AH212" s="45">
        <f>ROUND(IF(AQ212="0",BJ212,0),2)</f>
      </c>
      <c r="AI212" s="28" t="s">
        <v>47</v>
      </c>
      <c r="AJ212" s="45">
        <f>IF(AN212=0,J212,0)</f>
      </c>
      <c r="AK212" s="45">
        <f>IF(AN212=12,J212,0)</f>
      </c>
      <c r="AL212" s="45">
        <f>IF(AN212=21,J212,0)</f>
      </c>
      <c r="AN212" s="45" t="n">
        <v>21</v>
      </c>
      <c r="AO212" s="45">
        <f>G212*0.717960494</f>
      </c>
      <c r="AP212" s="45">
        <f>G212*(1-0.717960494)</f>
      </c>
      <c r="AQ212" s="47" t="s">
        <v>88</v>
      </c>
      <c r="AV212" s="45">
        <f>ROUND(AW212+AX212,2)</f>
      </c>
      <c r="AW212" s="45">
        <f>ROUND(F212*AO212,2)</f>
      </c>
      <c r="AX212" s="45">
        <f>ROUND(F212*AP212,2)</f>
      </c>
      <c r="AY212" s="47" t="s">
        <v>368</v>
      </c>
      <c r="AZ212" s="47" t="s">
        <v>338</v>
      </c>
      <c r="BA212" s="28" t="s">
        <v>57</v>
      </c>
      <c r="BC212" s="45">
        <f>AW212+AX212</f>
      </c>
      <c r="BD212" s="45">
        <f>G212/(100-BE212)*100</f>
      </c>
      <c r="BE212" s="45" t="n">
        <v>0</v>
      </c>
      <c r="BF212" s="45">
        <f>212</f>
      </c>
      <c r="BH212" s="45">
        <f>F212*AO212</f>
      </c>
      <c r="BI212" s="45">
        <f>F212*AP212</f>
      </c>
      <c r="BJ212" s="45">
        <f>F212*G212</f>
      </c>
      <c r="BK212" s="45"/>
      <c r="BL212" s="45" t="n">
        <v>764</v>
      </c>
      <c r="BW212" s="45" t="n">
        <v>21</v>
      </c>
      <c r="BX212" s="14" t="s">
        <v>398</v>
      </c>
    </row>
    <row r="213" customHeight="true" ht="13.5">
      <c r="A213" s="48"/>
      <c r="B213" s="57" t="s">
        <v>92</v>
      </c>
      <c r="C213" s="58" t="s">
        <v>399</v>
      </c>
      <c r="D213" s="49"/>
      <c r="E213" s="49"/>
      <c r="F213" s="49"/>
      <c r="G213" s="49"/>
      <c r="H213" s="49"/>
      <c r="I213" s="49"/>
      <c r="J213" s="49"/>
      <c r="K213" s="59"/>
    </row>
    <row r="214">
      <c r="A214" s="48"/>
      <c r="C214" s="49" t="s">
        <v>382</v>
      </c>
      <c r="D214" s="49" t="s">
        <v>47</v>
      </c>
      <c r="F214" s="50" t="n">
        <v>9.2</v>
      </c>
      <c r="K214" s="51"/>
    </row>
    <row r="215">
      <c r="A215" s="9" t="s">
        <v>400</v>
      </c>
      <c r="B215" s="10" t="s">
        <v>401</v>
      </c>
      <c r="C215" s="14" t="s">
        <v>402</v>
      </c>
      <c r="D215" s="10"/>
      <c r="E215" s="10" t="s">
        <v>176</v>
      </c>
      <c r="F215" s="45" t="n">
        <v>2</v>
      </c>
      <c r="G215" s="45" t="n">
        <v>0</v>
      </c>
      <c r="H215" s="45">
        <f>ROUND(F215*AO215,2)</f>
      </c>
      <c r="I215" s="45">
        <f>ROUND(F215*AP215,2)</f>
      </c>
      <c r="J215" s="45">
        <f>ROUND(F215*G215,2)</f>
      </c>
      <c r="K215" s="46" t="s">
        <v>54</v>
      </c>
      <c r="Z215" s="45">
        <f>ROUND(IF(AQ215="5",BJ215,0),2)</f>
      </c>
      <c r="AB215" s="45">
        <f>ROUND(IF(AQ215="1",BH215,0),2)</f>
      </c>
      <c r="AC215" s="45">
        <f>ROUND(IF(AQ215="1",BI215,0),2)</f>
      </c>
      <c r="AD215" s="45">
        <f>ROUND(IF(AQ215="7",BH215,0),2)</f>
      </c>
      <c r="AE215" s="45">
        <f>ROUND(IF(AQ215="7",BI215,0),2)</f>
      </c>
      <c r="AF215" s="45">
        <f>ROUND(IF(AQ215="2",BH215,0),2)</f>
      </c>
      <c r="AG215" s="45">
        <f>ROUND(IF(AQ215="2",BI215,0),2)</f>
      </c>
      <c r="AH215" s="45">
        <f>ROUND(IF(AQ215="0",BJ215,0),2)</f>
      </c>
      <c r="AI215" s="28" t="s">
        <v>47</v>
      </c>
      <c r="AJ215" s="45">
        <f>IF(AN215=0,J215,0)</f>
      </c>
      <c r="AK215" s="45">
        <f>IF(AN215=12,J215,0)</f>
      </c>
      <c r="AL215" s="45">
        <f>IF(AN215=21,J215,0)</f>
      </c>
      <c r="AN215" s="45" t="n">
        <v>21</v>
      </c>
      <c r="AO215" s="45">
        <f>G215*0.560443491</f>
      </c>
      <c r="AP215" s="45">
        <f>G215*(1-0.560443491)</f>
      </c>
      <c r="AQ215" s="47" t="s">
        <v>88</v>
      </c>
      <c r="AV215" s="45">
        <f>ROUND(AW215+AX215,2)</f>
      </c>
      <c r="AW215" s="45">
        <f>ROUND(F215*AO215,2)</f>
      </c>
      <c r="AX215" s="45">
        <f>ROUND(F215*AP215,2)</f>
      </c>
      <c r="AY215" s="47" t="s">
        <v>368</v>
      </c>
      <c r="AZ215" s="47" t="s">
        <v>338</v>
      </c>
      <c r="BA215" s="28" t="s">
        <v>57</v>
      </c>
      <c r="BC215" s="45">
        <f>AW215+AX215</f>
      </c>
      <c r="BD215" s="45">
        <f>G215/(100-BE215)*100</f>
      </c>
      <c r="BE215" s="45" t="n">
        <v>0</v>
      </c>
      <c r="BF215" s="45">
        <f>215</f>
      </c>
      <c r="BH215" s="45">
        <f>F215*AO215</f>
      </c>
      <c r="BI215" s="45">
        <f>F215*AP215</f>
      </c>
      <c r="BJ215" s="45">
        <f>F215*G215</f>
      </c>
      <c r="BK215" s="45"/>
      <c r="BL215" s="45" t="n">
        <v>764</v>
      </c>
      <c r="BW215" s="45" t="n">
        <v>21</v>
      </c>
      <c r="BX215" s="14" t="s">
        <v>402</v>
      </c>
    </row>
    <row r="216">
      <c r="A216" s="48"/>
      <c r="C216" s="49" t="s">
        <v>61</v>
      </c>
      <c r="D216" s="49" t="s">
        <v>47</v>
      </c>
      <c r="F216" s="50" t="n">
        <v>2</v>
      </c>
      <c r="K216" s="51"/>
    </row>
    <row r="217">
      <c r="A217" s="9" t="s">
        <v>403</v>
      </c>
      <c r="B217" s="10" t="s">
        <v>404</v>
      </c>
      <c r="C217" s="14" t="s">
        <v>405</v>
      </c>
      <c r="D217" s="10"/>
      <c r="E217" s="10" t="s">
        <v>221</v>
      </c>
      <c r="F217" s="45" t="n">
        <v>14.2</v>
      </c>
      <c r="G217" s="45" t="n">
        <v>0</v>
      </c>
      <c r="H217" s="45">
        <f>ROUND(F217*AO217,2)</f>
      </c>
      <c r="I217" s="45">
        <f>ROUND(F217*AP217,2)</f>
      </c>
      <c r="J217" s="45">
        <f>ROUND(F217*G217,2)</f>
      </c>
      <c r="K217" s="46" t="s">
        <v>54</v>
      </c>
      <c r="Z217" s="45">
        <f>ROUND(IF(AQ217="5",BJ217,0),2)</f>
      </c>
      <c r="AB217" s="45">
        <f>ROUND(IF(AQ217="1",BH217,0),2)</f>
      </c>
      <c r="AC217" s="45">
        <f>ROUND(IF(AQ217="1",BI217,0),2)</f>
      </c>
      <c r="AD217" s="45">
        <f>ROUND(IF(AQ217="7",BH217,0),2)</f>
      </c>
      <c r="AE217" s="45">
        <f>ROUND(IF(AQ217="7",BI217,0),2)</f>
      </c>
      <c r="AF217" s="45">
        <f>ROUND(IF(AQ217="2",BH217,0),2)</f>
      </c>
      <c r="AG217" s="45">
        <f>ROUND(IF(AQ217="2",BI217,0),2)</f>
      </c>
      <c r="AH217" s="45">
        <f>ROUND(IF(AQ217="0",BJ217,0),2)</f>
      </c>
      <c r="AI217" s="28" t="s">
        <v>47</v>
      </c>
      <c r="AJ217" s="45">
        <f>IF(AN217=0,J217,0)</f>
      </c>
      <c r="AK217" s="45">
        <f>IF(AN217=12,J217,0)</f>
      </c>
      <c r="AL217" s="45">
        <f>IF(AN217=21,J217,0)</f>
      </c>
      <c r="AN217" s="45" t="n">
        <v>21</v>
      </c>
      <c r="AO217" s="45">
        <f>G217*0.692040324</f>
      </c>
      <c r="AP217" s="45">
        <f>G217*(1-0.692040324)</f>
      </c>
      <c r="AQ217" s="47" t="s">
        <v>88</v>
      </c>
      <c r="AV217" s="45">
        <f>ROUND(AW217+AX217,2)</f>
      </c>
      <c r="AW217" s="45">
        <f>ROUND(F217*AO217,2)</f>
      </c>
      <c r="AX217" s="45">
        <f>ROUND(F217*AP217,2)</f>
      </c>
      <c r="AY217" s="47" t="s">
        <v>368</v>
      </c>
      <c r="AZ217" s="47" t="s">
        <v>338</v>
      </c>
      <c r="BA217" s="28" t="s">
        <v>57</v>
      </c>
      <c r="BC217" s="45">
        <f>AW217+AX217</f>
      </c>
      <c r="BD217" s="45">
        <f>G217/(100-BE217)*100</f>
      </c>
      <c r="BE217" s="45" t="n">
        <v>0</v>
      </c>
      <c r="BF217" s="45">
        <f>217</f>
      </c>
      <c r="BH217" s="45">
        <f>F217*AO217</f>
      </c>
      <c r="BI217" s="45">
        <f>F217*AP217</f>
      </c>
      <c r="BJ217" s="45">
        <f>F217*G217</f>
      </c>
      <c r="BK217" s="45"/>
      <c r="BL217" s="45" t="n">
        <v>764</v>
      </c>
      <c r="BW217" s="45" t="n">
        <v>21</v>
      </c>
      <c r="BX217" s="14" t="s">
        <v>405</v>
      </c>
    </row>
    <row r="218">
      <c r="A218" s="48"/>
      <c r="C218" s="49" t="s">
        <v>406</v>
      </c>
      <c r="D218" s="49" t="s">
        <v>47</v>
      </c>
      <c r="F218" s="50" t="n">
        <v>14.2</v>
      </c>
      <c r="K218" s="51"/>
    </row>
    <row r="219">
      <c r="A219" s="9" t="s">
        <v>407</v>
      </c>
      <c r="B219" s="10" t="s">
        <v>408</v>
      </c>
      <c r="C219" s="14" t="s">
        <v>409</v>
      </c>
      <c r="D219" s="10"/>
      <c r="E219" s="10" t="s">
        <v>221</v>
      </c>
      <c r="F219" s="45" t="n">
        <v>4.6</v>
      </c>
      <c r="G219" s="45" t="n">
        <v>0</v>
      </c>
      <c r="H219" s="45">
        <f>ROUND(F219*AO219,2)</f>
      </c>
      <c r="I219" s="45">
        <f>ROUND(F219*AP219,2)</f>
      </c>
      <c r="J219" s="45">
        <f>ROUND(F219*G219,2)</f>
      </c>
      <c r="K219" s="46" t="s">
        <v>54</v>
      </c>
      <c r="Z219" s="45">
        <f>ROUND(IF(AQ219="5",BJ219,0),2)</f>
      </c>
      <c r="AB219" s="45">
        <f>ROUND(IF(AQ219="1",BH219,0),2)</f>
      </c>
      <c r="AC219" s="45">
        <f>ROUND(IF(AQ219="1",BI219,0),2)</f>
      </c>
      <c r="AD219" s="45">
        <f>ROUND(IF(AQ219="7",BH219,0),2)</f>
      </c>
      <c r="AE219" s="45">
        <f>ROUND(IF(AQ219="7",BI219,0),2)</f>
      </c>
      <c r="AF219" s="45">
        <f>ROUND(IF(AQ219="2",BH219,0),2)</f>
      </c>
      <c r="AG219" s="45">
        <f>ROUND(IF(AQ219="2",BI219,0),2)</f>
      </c>
      <c r="AH219" s="45">
        <f>ROUND(IF(AQ219="0",BJ219,0),2)</f>
      </c>
      <c r="AI219" s="28" t="s">
        <v>47</v>
      </c>
      <c r="AJ219" s="45">
        <f>IF(AN219=0,J219,0)</f>
      </c>
      <c r="AK219" s="45">
        <f>IF(AN219=12,J219,0)</f>
      </c>
      <c r="AL219" s="45">
        <f>IF(AN219=21,J219,0)</f>
      </c>
      <c r="AN219" s="45" t="n">
        <v>21</v>
      </c>
      <c r="AO219" s="45">
        <f>G219*0.811459137</f>
      </c>
      <c r="AP219" s="45">
        <f>G219*(1-0.811459137)</f>
      </c>
      <c r="AQ219" s="47" t="s">
        <v>88</v>
      </c>
      <c r="AV219" s="45">
        <f>ROUND(AW219+AX219,2)</f>
      </c>
      <c r="AW219" s="45">
        <f>ROUND(F219*AO219,2)</f>
      </c>
      <c r="AX219" s="45">
        <f>ROUND(F219*AP219,2)</f>
      </c>
      <c r="AY219" s="47" t="s">
        <v>368</v>
      </c>
      <c r="AZ219" s="47" t="s">
        <v>338</v>
      </c>
      <c r="BA219" s="28" t="s">
        <v>57</v>
      </c>
      <c r="BC219" s="45">
        <f>AW219+AX219</f>
      </c>
      <c r="BD219" s="45">
        <f>G219/(100-BE219)*100</f>
      </c>
      <c r="BE219" s="45" t="n">
        <v>0</v>
      </c>
      <c r="BF219" s="45">
        <f>219</f>
      </c>
      <c r="BH219" s="45">
        <f>F219*AO219</f>
      </c>
      <c r="BI219" s="45">
        <f>F219*AP219</f>
      </c>
      <c r="BJ219" s="45">
        <f>F219*G219</f>
      </c>
      <c r="BK219" s="45"/>
      <c r="BL219" s="45" t="n">
        <v>764</v>
      </c>
      <c r="BW219" s="45" t="n">
        <v>21</v>
      </c>
      <c r="BX219" s="14" t="s">
        <v>409</v>
      </c>
    </row>
    <row r="220">
      <c r="A220" s="48"/>
      <c r="C220" s="49" t="s">
        <v>410</v>
      </c>
      <c r="D220" s="49" t="s">
        <v>47</v>
      </c>
      <c r="F220" s="50" t="n">
        <v>4.6</v>
      </c>
      <c r="K220" s="51"/>
    </row>
    <row r="221">
      <c r="A221" s="9" t="s">
        <v>411</v>
      </c>
      <c r="B221" s="10" t="s">
        <v>412</v>
      </c>
      <c r="C221" s="14" t="s">
        <v>413</v>
      </c>
      <c r="D221" s="10"/>
      <c r="E221" s="10" t="s">
        <v>221</v>
      </c>
      <c r="F221" s="45" t="n">
        <v>1.25</v>
      </c>
      <c r="G221" s="45" t="n">
        <v>0</v>
      </c>
      <c r="H221" s="45">
        <f>ROUND(F221*AO221,2)</f>
      </c>
      <c r="I221" s="45">
        <f>ROUND(F221*AP221,2)</f>
      </c>
      <c r="J221" s="45">
        <f>ROUND(F221*G221,2)</f>
      </c>
      <c r="K221" s="46" t="s">
        <v>54</v>
      </c>
      <c r="Z221" s="45">
        <f>ROUND(IF(AQ221="5",BJ221,0),2)</f>
      </c>
      <c r="AB221" s="45">
        <f>ROUND(IF(AQ221="1",BH221,0),2)</f>
      </c>
      <c r="AC221" s="45">
        <f>ROUND(IF(AQ221="1",BI221,0),2)</f>
      </c>
      <c r="AD221" s="45">
        <f>ROUND(IF(AQ221="7",BH221,0),2)</f>
      </c>
      <c r="AE221" s="45">
        <f>ROUND(IF(AQ221="7",BI221,0),2)</f>
      </c>
      <c r="AF221" s="45">
        <f>ROUND(IF(AQ221="2",BH221,0),2)</f>
      </c>
      <c r="AG221" s="45">
        <f>ROUND(IF(AQ221="2",BI221,0),2)</f>
      </c>
      <c r="AH221" s="45">
        <f>ROUND(IF(AQ221="0",BJ221,0),2)</f>
      </c>
      <c r="AI221" s="28" t="s">
        <v>47</v>
      </c>
      <c r="AJ221" s="45">
        <f>IF(AN221=0,J221,0)</f>
      </c>
      <c r="AK221" s="45">
        <f>IF(AN221=12,J221,0)</f>
      </c>
      <c r="AL221" s="45">
        <f>IF(AN221=21,J221,0)</f>
      </c>
      <c r="AN221" s="45" t="n">
        <v>21</v>
      </c>
      <c r="AO221" s="45">
        <f>G221*0.234234637</f>
      </c>
      <c r="AP221" s="45">
        <f>G221*(1-0.234234637)</f>
      </c>
      <c r="AQ221" s="47" t="s">
        <v>88</v>
      </c>
      <c r="AV221" s="45">
        <f>ROUND(AW221+AX221,2)</f>
      </c>
      <c r="AW221" s="45">
        <f>ROUND(F221*AO221,2)</f>
      </c>
      <c r="AX221" s="45">
        <f>ROUND(F221*AP221,2)</f>
      </c>
      <c r="AY221" s="47" t="s">
        <v>368</v>
      </c>
      <c r="AZ221" s="47" t="s">
        <v>338</v>
      </c>
      <c r="BA221" s="28" t="s">
        <v>57</v>
      </c>
      <c r="BC221" s="45">
        <f>AW221+AX221</f>
      </c>
      <c r="BD221" s="45">
        <f>G221/(100-BE221)*100</f>
      </c>
      <c r="BE221" s="45" t="n">
        <v>0</v>
      </c>
      <c r="BF221" s="45">
        <f>221</f>
      </c>
      <c r="BH221" s="45">
        <f>F221*AO221</f>
      </c>
      <c r="BI221" s="45">
        <f>F221*AP221</f>
      </c>
      <c r="BJ221" s="45">
        <f>F221*G221</f>
      </c>
      <c r="BK221" s="45"/>
      <c r="BL221" s="45" t="n">
        <v>764</v>
      </c>
      <c r="BW221" s="45" t="n">
        <v>21</v>
      </c>
      <c r="BX221" s="14" t="s">
        <v>413</v>
      </c>
    </row>
    <row r="222">
      <c r="A222" s="48"/>
      <c r="C222" s="49" t="s">
        <v>414</v>
      </c>
      <c r="D222" s="49" t="s">
        <v>47</v>
      </c>
      <c r="F222" s="50" t="n">
        <v>1.25</v>
      </c>
      <c r="K222" s="51"/>
    </row>
    <row r="223">
      <c r="A223" s="9" t="s">
        <v>415</v>
      </c>
      <c r="B223" s="10" t="s">
        <v>416</v>
      </c>
      <c r="C223" s="14" t="s">
        <v>417</v>
      </c>
      <c r="D223" s="10"/>
      <c r="E223" s="10" t="s">
        <v>176</v>
      </c>
      <c r="F223" s="45" t="n">
        <v>7</v>
      </c>
      <c r="G223" s="45" t="n">
        <v>0</v>
      </c>
      <c r="H223" s="45">
        <f>ROUND(F223*AO223,2)</f>
      </c>
      <c r="I223" s="45">
        <f>ROUND(F223*AP223,2)</f>
      </c>
      <c r="J223" s="45">
        <f>ROUND(F223*G223,2)</f>
      </c>
      <c r="K223" s="46" t="s">
        <v>54</v>
      </c>
      <c r="Z223" s="45">
        <f>ROUND(IF(AQ223="5",BJ223,0),2)</f>
      </c>
      <c r="AB223" s="45">
        <f>ROUND(IF(AQ223="1",BH223,0),2)</f>
      </c>
      <c r="AC223" s="45">
        <f>ROUND(IF(AQ223="1",BI223,0),2)</f>
      </c>
      <c r="AD223" s="45">
        <f>ROUND(IF(AQ223="7",BH223,0),2)</f>
      </c>
      <c r="AE223" s="45">
        <f>ROUND(IF(AQ223="7",BI223,0),2)</f>
      </c>
      <c r="AF223" s="45">
        <f>ROUND(IF(AQ223="2",BH223,0),2)</f>
      </c>
      <c r="AG223" s="45">
        <f>ROUND(IF(AQ223="2",BI223,0),2)</f>
      </c>
      <c r="AH223" s="45">
        <f>ROUND(IF(AQ223="0",BJ223,0),2)</f>
      </c>
      <c r="AI223" s="28" t="s">
        <v>47</v>
      </c>
      <c r="AJ223" s="45">
        <f>IF(AN223=0,J223,0)</f>
      </c>
      <c r="AK223" s="45">
        <f>IF(AN223=12,J223,0)</f>
      </c>
      <c r="AL223" s="45">
        <f>IF(AN223=21,J223,0)</f>
      </c>
      <c r="AN223" s="45" t="n">
        <v>21</v>
      </c>
      <c r="AO223" s="45">
        <f>G223*0.851122324</f>
      </c>
      <c r="AP223" s="45">
        <f>G223*(1-0.851122324)</f>
      </c>
      <c r="AQ223" s="47" t="s">
        <v>88</v>
      </c>
      <c r="AV223" s="45">
        <f>ROUND(AW223+AX223,2)</f>
      </c>
      <c r="AW223" s="45">
        <f>ROUND(F223*AO223,2)</f>
      </c>
      <c r="AX223" s="45">
        <f>ROUND(F223*AP223,2)</f>
      </c>
      <c r="AY223" s="47" t="s">
        <v>368</v>
      </c>
      <c r="AZ223" s="47" t="s">
        <v>338</v>
      </c>
      <c r="BA223" s="28" t="s">
        <v>57</v>
      </c>
      <c r="BC223" s="45">
        <f>AW223+AX223</f>
      </c>
      <c r="BD223" s="45">
        <f>G223/(100-BE223)*100</f>
      </c>
      <c r="BE223" s="45" t="n">
        <v>0</v>
      </c>
      <c r="BF223" s="45">
        <f>223</f>
      </c>
      <c r="BH223" s="45">
        <f>F223*AO223</f>
      </c>
      <c r="BI223" s="45">
        <f>F223*AP223</f>
      </c>
      <c r="BJ223" s="45">
        <f>F223*G223</f>
      </c>
      <c r="BK223" s="45"/>
      <c r="BL223" s="45" t="n">
        <v>764</v>
      </c>
      <c r="BW223" s="45" t="n">
        <v>21</v>
      </c>
      <c r="BX223" s="14" t="s">
        <v>417</v>
      </c>
    </row>
    <row r="224">
      <c r="A224" s="48"/>
      <c r="C224" s="49" t="s">
        <v>88</v>
      </c>
      <c r="D224" s="49" t="s">
        <v>47</v>
      </c>
      <c r="F224" s="50" t="n">
        <v>7</v>
      </c>
      <c r="K224" s="51"/>
    </row>
    <row r="225">
      <c r="A225" s="9" t="s">
        <v>418</v>
      </c>
      <c r="B225" s="10" t="s">
        <v>419</v>
      </c>
      <c r="C225" s="14" t="s">
        <v>420</v>
      </c>
      <c r="D225" s="10"/>
      <c r="E225" s="10" t="s">
        <v>176</v>
      </c>
      <c r="F225" s="45" t="n">
        <v>1</v>
      </c>
      <c r="G225" s="45" t="n">
        <v>0</v>
      </c>
      <c r="H225" s="45">
        <f>ROUND(F225*AO225,2)</f>
      </c>
      <c r="I225" s="45">
        <f>ROUND(F225*AP225,2)</f>
      </c>
      <c r="J225" s="45">
        <f>ROUND(F225*G225,2)</f>
      </c>
      <c r="K225" s="46" t="s">
        <v>54</v>
      </c>
      <c r="Z225" s="45">
        <f>ROUND(IF(AQ225="5",BJ225,0),2)</f>
      </c>
      <c r="AB225" s="45">
        <f>ROUND(IF(AQ225="1",BH225,0),2)</f>
      </c>
      <c r="AC225" s="45">
        <f>ROUND(IF(AQ225="1",BI225,0),2)</f>
      </c>
      <c r="AD225" s="45">
        <f>ROUND(IF(AQ225="7",BH225,0),2)</f>
      </c>
      <c r="AE225" s="45">
        <f>ROUND(IF(AQ225="7",BI225,0),2)</f>
      </c>
      <c r="AF225" s="45">
        <f>ROUND(IF(AQ225="2",BH225,0),2)</f>
      </c>
      <c r="AG225" s="45">
        <f>ROUND(IF(AQ225="2",BI225,0),2)</f>
      </c>
      <c r="AH225" s="45">
        <f>ROUND(IF(AQ225="0",BJ225,0),2)</f>
      </c>
      <c r="AI225" s="28" t="s">
        <v>47</v>
      </c>
      <c r="AJ225" s="45">
        <f>IF(AN225=0,J225,0)</f>
      </c>
      <c r="AK225" s="45">
        <f>IF(AN225=12,J225,0)</f>
      </c>
      <c r="AL225" s="45">
        <f>IF(AN225=21,J225,0)</f>
      </c>
      <c r="AN225" s="45" t="n">
        <v>21</v>
      </c>
      <c r="AO225" s="45">
        <f>G225*0.831822259</f>
      </c>
      <c r="AP225" s="45">
        <f>G225*(1-0.831822259)</f>
      </c>
      <c r="AQ225" s="47" t="s">
        <v>88</v>
      </c>
      <c r="AV225" s="45">
        <f>ROUND(AW225+AX225,2)</f>
      </c>
      <c r="AW225" s="45">
        <f>ROUND(F225*AO225,2)</f>
      </c>
      <c r="AX225" s="45">
        <f>ROUND(F225*AP225,2)</f>
      </c>
      <c r="AY225" s="47" t="s">
        <v>368</v>
      </c>
      <c r="AZ225" s="47" t="s">
        <v>338</v>
      </c>
      <c r="BA225" s="28" t="s">
        <v>57</v>
      </c>
      <c r="BC225" s="45">
        <f>AW225+AX225</f>
      </c>
      <c r="BD225" s="45">
        <f>G225/(100-BE225)*100</f>
      </c>
      <c r="BE225" s="45" t="n">
        <v>0</v>
      </c>
      <c r="BF225" s="45">
        <f>225</f>
      </c>
      <c r="BH225" s="45">
        <f>F225*AO225</f>
      </c>
      <c r="BI225" s="45">
        <f>F225*AP225</f>
      </c>
      <c r="BJ225" s="45">
        <f>F225*G225</f>
      </c>
      <c r="BK225" s="45"/>
      <c r="BL225" s="45" t="n">
        <v>764</v>
      </c>
      <c r="BW225" s="45" t="n">
        <v>21</v>
      </c>
      <c r="BX225" s="14" t="s">
        <v>420</v>
      </c>
    </row>
    <row r="226">
      <c r="A226" s="48"/>
      <c r="C226" s="49" t="s">
        <v>50</v>
      </c>
      <c r="D226" s="49" t="s">
        <v>47</v>
      </c>
      <c r="F226" s="50" t="n">
        <v>1</v>
      </c>
      <c r="K226" s="51"/>
    </row>
    <row r="227">
      <c r="A227" s="9" t="s">
        <v>421</v>
      </c>
      <c r="B227" s="10" t="s">
        <v>422</v>
      </c>
      <c r="C227" s="14" t="s">
        <v>423</v>
      </c>
      <c r="D227" s="10"/>
      <c r="E227" s="10" t="s">
        <v>153</v>
      </c>
      <c r="F227" s="45" t="n">
        <v>0.62555</v>
      </c>
      <c r="G227" s="45" t="n">
        <v>0</v>
      </c>
      <c r="H227" s="45">
        <f>ROUND(F227*AO227,2)</f>
      </c>
      <c r="I227" s="45">
        <f>ROUND(F227*AP227,2)</f>
      </c>
      <c r="J227" s="45">
        <f>ROUND(F227*G227,2)</f>
      </c>
      <c r="K227" s="46" t="s">
        <v>54</v>
      </c>
      <c r="Z227" s="45">
        <f>ROUND(IF(AQ227="5",BJ227,0),2)</f>
      </c>
      <c r="AB227" s="45">
        <f>ROUND(IF(AQ227="1",BH227,0),2)</f>
      </c>
      <c r="AC227" s="45">
        <f>ROUND(IF(AQ227="1",BI227,0),2)</f>
      </c>
      <c r="AD227" s="45">
        <f>ROUND(IF(AQ227="7",BH227,0),2)</f>
      </c>
      <c r="AE227" s="45">
        <f>ROUND(IF(AQ227="7",BI227,0),2)</f>
      </c>
      <c r="AF227" s="45">
        <f>ROUND(IF(AQ227="2",BH227,0),2)</f>
      </c>
      <c r="AG227" s="45">
        <f>ROUND(IF(AQ227="2",BI227,0),2)</f>
      </c>
      <c r="AH227" s="45">
        <f>ROUND(IF(AQ227="0",BJ227,0),2)</f>
      </c>
      <c r="AI227" s="28" t="s">
        <v>47</v>
      </c>
      <c r="AJ227" s="45">
        <f>IF(AN227=0,J227,0)</f>
      </c>
      <c r="AK227" s="45">
        <f>IF(AN227=12,J227,0)</f>
      </c>
      <c r="AL227" s="45">
        <f>IF(AN227=21,J227,0)</f>
      </c>
      <c r="AN227" s="45" t="n">
        <v>21</v>
      </c>
      <c r="AO227" s="45">
        <f>G227*0</f>
      </c>
      <c r="AP227" s="45">
        <f>G227*(1-0)</f>
      </c>
      <c r="AQ227" s="47" t="s">
        <v>74</v>
      </c>
      <c r="AV227" s="45">
        <f>ROUND(AW227+AX227,2)</f>
      </c>
      <c r="AW227" s="45">
        <f>ROUND(F227*AO227,2)</f>
      </c>
      <c r="AX227" s="45">
        <f>ROUND(F227*AP227,2)</f>
      </c>
      <c r="AY227" s="47" t="s">
        <v>368</v>
      </c>
      <c r="AZ227" s="47" t="s">
        <v>338</v>
      </c>
      <c r="BA227" s="28" t="s">
        <v>57</v>
      </c>
      <c r="BC227" s="45">
        <f>AW227+AX227</f>
      </c>
      <c r="BD227" s="45">
        <f>G227/(100-BE227)*100</f>
      </c>
      <c r="BE227" s="45" t="n">
        <v>0</v>
      </c>
      <c r="BF227" s="45">
        <f>227</f>
      </c>
      <c r="BH227" s="45">
        <f>F227*AO227</f>
      </c>
      <c r="BI227" s="45">
        <f>F227*AP227</f>
      </c>
      <c r="BJ227" s="45">
        <f>F227*G227</f>
      </c>
      <c r="BK227" s="45"/>
      <c r="BL227" s="45" t="n">
        <v>764</v>
      </c>
      <c r="BW227" s="45" t="n">
        <v>21</v>
      </c>
      <c r="BX227" s="14" t="s">
        <v>423</v>
      </c>
    </row>
    <row r="228">
      <c r="A228" s="52" t="s">
        <v>47</v>
      </c>
      <c r="B228" s="53" t="s">
        <v>424</v>
      </c>
      <c r="C228" s="54" t="s">
        <v>425</v>
      </c>
      <c r="D228" s="53"/>
      <c r="E228" s="55" t="s">
        <v>4</v>
      </c>
      <c r="F228" s="55" t="s">
        <v>4</v>
      </c>
      <c r="G228" s="55" t="s">
        <v>4</v>
      </c>
      <c r="H228" s="2">
        <f>SUM(H229:H232)</f>
      </c>
      <c r="I228" s="2">
        <f>SUM(I229:I232)</f>
      </c>
      <c r="J228" s="2">
        <f>SUM(J229:J232)</f>
      </c>
      <c r="K228" s="56" t="s">
        <v>47</v>
      </c>
      <c r="AI228" s="28" t="s">
        <v>47</v>
      </c>
      <c r="AS228" s="2">
        <f>SUM(AJ229:AJ232)</f>
      </c>
      <c r="AT228" s="2">
        <f>SUM(AK229:AK232)</f>
      </c>
      <c r="AU228" s="2">
        <f>SUM(AL229:AL232)</f>
      </c>
    </row>
    <row r="229">
      <c r="A229" s="9" t="s">
        <v>426</v>
      </c>
      <c r="B229" s="10" t="s">
        <v>427</v>
      </c>
      <c r="C229" s="14" t="s">
        <v>428</v>
      </c>
      <c r="D229" s="10"/>
      <c r="E229" s="10" t="s">
        <v>112</v>
      </c>
      <c r="F229" s="45" t="n">
        <v>70.06</v>
      </c>
      <c r="G229" s="45" t="n">
        <v>0</v>
      </c>
      <c r="H229" s="45">
        <f>ROUND(F229*AO229,2)</f>
      </c>
      <c r="I229" s="45">
        <f>ROUND(F229*AP229,2)</f>
      </c>
      <c r="J229" s="45">
        <f>ROUND(F229*G229,2)</f>
      </c>
      <c r="K229" s="46" t="s">
        <v>54</v>
      </c>
      <c r="Z229" s="45">
        <f>ROUND(IF(AQ229="5",BJ229,0),2)</f>
      </c>
      <c r="AB229" s="45">
        <f>ROUND(IF(AQ229="1",BH229,0),2)</f>
      </c>
      <c r="AC229" s="45">
        <f>ROUND(IF(AQ229="1",BI229,0),2)</f>
      </c>
      <c r="AD229" s="45">
        <f>ROUND(IF(AQ229="7",BH229,0),2)</f>
      </c>
      <c r="AE229" s="45">
        <f>ROUND(IF(AQ229="7",BI229,0),2)</f>
      </c>
      <c r="AF229" s="45">
        <f>ROUND(IF(AQ229="2",BH229,0),2)</f>
      </c>
      <c r="AG229" s="45">
        <f>ROUND(IF(AQ229="2",BI229,0),2)</f>
      </c>
      <c r="AH229" s="45">
        <f>ROUND(IF(AQ229="0",BJ229,0),2)</f>
      </c>
      <c r="AI229" s="28" t="s">
        <v>47</v>
      </c>
      <c r="AJ229" s="45">
        <f>IF(AN229=0,J229,0)</f>
      </c>
      <c r="AK229" s="45">
        <f>IF(AN229=12,J229,0)</f>
      </c>
      <c r="AL229" s="45">
        <f>IF(AN229=21,J229,0)</f>
      </c>
      <c r="AN229" s="45" t="n">
        <v>21</v>
      </c>
      <c r="AO229" s="45">
        <f>G229*0.247743648</f>
      </c>
      <c r="AP229" s="45">
        <f>G229*(1-0.247743648)</f>
      </c>
      <c r="AQ229" s="47" t="s">
        <v>88</v>
      </c>
      <c r="AV229" s="45">
        <f>ROUND(AW229+AX229,2)</f>
      </c>
      <c r="AW229" s="45">
        <f>ROUND(F229*AO229,2)</f>
      </c>
      <c r="AX229" s="45">
        <f>ROUND(F229*AP229,2)</f>
      </c>
      <c r="AY229" s="47" t="s">
        <v>429</v>
      </c>
      <c r="AZ229" s="47" t="s">
        <v>338</v>
      </c>
      <c r="BA229" s="28" t="s">
        <v>57</v>
      </c>
      <c r="BC229" s="45">
        <f>AW229+AX229</f>
      </c>
      <c r="BD229" s="45">
        <f>G229/(100-BE229)*100</f>
      </c>
      <c r="BE229" s="45" t="n">
        <v>0</v>
      </c>
      <c r="BF229" s="45">
        <f>229</f>
      </c>
      <c r="BH229" s="45">
        <f>F229*AO229</f>
      </c>
      <c r="BI229" s="45">
        <f>F229*AP229</f>
      </c>
      <c r="BJ229" s="45">
        <f>F229*G229</f>
      </c>
      <c r="BK229" s="45"/>
      <c r="BL229" s="45" t="n">
        <v>765</v>
      </c>
      <c r="BW229" s="45" t="n">
        <v>21</v>
      </c>
      <c r="BX229" s="14" t="s">
        <v>428</v>
      </c>
    </row>
    <row r="230" customHeight="true" ht="13.5">
      <c r="A230" s="48"/>
      <c r="B230" s="57" t="s">
        <v>92</v>
      </c>
      <c r="C230" s="58" t="s">
        <v>430</v>
      </c>
      <c r="D230" s="49"/>
      <c r="E230" s="49"/>
      <c r="F230" s="49"/>
      <c r="G230" s="49"/>
      <c r="H230" s="49"/>
      <c r="I230" s="49"/>
      <c r="J230" s="49"/>
      <c r="K230" s="59"/>
    </row>
    <row r="231">
      <c r="A231" s="48"/>
      <c r="C231" s="49" t="s">
        <v>357</v>
      </c>
      <c r="D231" s="49" t="s">
        <v>47</v>
      </c>
      <c r="F231" s="50" t="n">
        <v>70.06</v>
      </c>
      <c r="K231" s="51"/>
    </row>
    <row r="232">
      <c r="A232" s="9" t="s">
        <v>353</v>
      </c>
      <c r="B232" s="10" t="s">
        <v>431</v>
      </c>
      <c r="C232" s="14" t="s">
        <v>432</v>
      </c>
      <c r="D232" s="10"/>
      <c r="E232" s="10" t="s">
        <v>153</v>
      </c>
      <c r="F232" s="45" t="n">
        <v>0.01401</v>
      </c>
      <c r="G232" s="45" t="n">
        <v>0</v>
      </c>
      <c r="H232" s="45">
        <f>ROUND(F232*AO232,2)</f>
      </c>
      <c r="I232" s="45">
        <f>ROUND(F232*AP232,2)</f>
      </c>
      <c r="J232" s="45">
        <f>ROUND(F232*G232,2)</f>
      </c>
      <c r="K232" s="46" t="s">
        <v>54</v>
      </c>
      <c r="Z232" s="45">
        <f>ROUND(IF(AQ232="5",BJ232,0),2)</f>
      </c>
      <c r="AB232" s="45">
        <f>ROUND(IF(AQ232="1",BH232,0),2)</f>
      </c>
      <c r="AC232" s="45">
        <f>ROUND(IF(AQ232="1",BI232,0),2)</f>
      </c>
      <c r="AD232" s="45">
        <f>ROUND(IF(AQ232="7",BH232,0),2)</f>
      </c>
      <c r="AE232" s="45">
        <f>ROUND(IF(AQ232="7",BI232,0),2)</f>
      </c>
      <c r="AF232" s="45">
        <f>ROUND(IF(AQ232="2",BH232,0),2)</f>
      </c>
      <c r="AG232" s="45">
        <f>ROUND(IF(AQ232="2",BI232,0),2)</f>
      </c>
      <c r="AH232" s="45">
        <f>ROUND(IF(AQ232="0",BJ232,0),2)</f>
      </c>
      <c r="AI232" s="28" t="s">
        <v>47</v>
      </c>
      <c r="AJ232" s="45">
        <f>IF(AN232=0,J232,0)</f>
      </c>
      <c r="AK232" s="45">
        <f>IF(AN232=12,J232,0)</f>
      </c>
      <c r="AL232" s="45">
        <f>IF(AN232=21,J232,0)</f>
      </c>
      <c r="AN232" s="45" t="n">
        <v>21</v>
      </c>
      <c r="AO232" s="45">
        <f>G232*0</f>
      </c>
      <c r="AP232" s="45">
        <f>G232*(1-0)</f>
      </c>
      <c r="AQ232" s="47" t="s">
        <v>74</v>
      </c>
      <c r="AV232" s="45">
        <f>ROUND(AW232+AX232,2)</f>
      </c>
      <c r="AW232" s="45">
        <f>ROUND(F232*AO232,2)</f>
      </c>
      <c r="AX232" s="45">
        <f>ROUND(F232*AP232,2)</f>
      </c>
      <c r="AY232" s="47" t="s">
        <v>429</v>
      </c>
      <c r="AZ232" s="47" t="s">
        <v>338</v>
      </c>
      <c r="BA232" s="28" t="s">
        <v>57</v>
      </c>
      <c r="BC232" s="45">
        <f>AW232+AX232</f>
      </c>
      <c r="BD232" s="45">
        <f>G232/(100-BE232)*100</f>
      </c>
      <c r="BE232" s="45" t="n">
        <v>0</v>
      </c>
      <c r="BF232" s="45">
        <f>232</f>
      </c>
      <c r="BH232" s="45">
        <f>F232*AO232</f>
      </c>
      <c r="BI232" s="45">
        <f>F232*AP232</f>
      </c>
      <c r="BJ232" s="45">
        <f>F232*G232</f>
      </c>
      <c r="BK232" s="45"/>
      <c r="BL232" s="45" t="n">
        <v>765</v>
      </c>
      <c r="BW232" s="45" t="n">
        <v>21</v>
      </c>
      <c r="BX232" s="14" t="s">
        <v>432</v>
      </c>
    </row>
    <row r="233">
      <c r="A233" s="52" t="s">
        <v>47</v>
      </c>
      <c r="B233" s="53" t="s">
        <v>433</v>
      </c>
      <c r="C233" s="54" t="s">
        <v>434</v>
      </c>
      <c r="D233" s="53"/>
      <c r="E233" s="55" t="s">
        <v>4</v>
      </c>
      <c r="F233" s="55" t="s">
        <v>4</v>
      </c>
      <c r="G233" s="55" t="s">
        <v>4</v>
      </c>
      <c r="H233" s="2">
        <f>SUM(H234:H253)</f>
      </c>
      <c r="I233" s="2">
        <f>SUM(I234:I253)</f>
      </c>
      <c r="J233" s="2">
        <f>SUM(J234:J253)</f>
      </c>
      <c r="K233" s="56" t="s">
        <v>47</v>
      </c>
      <c r="AI233" s="28" t="s">
        <v>47</v>
      </c>
      <c r="AS233" s="2">
        <f>SUM(AJ234:AJ253)</f>
      </c>
      <c r="AT233" s="2">
        <f>SUM(AK234:AK253)</f>
      </c>
      <c r="AU233" s="2">
        <f>SUM(AL234:AL253)</f>
      </c>
    </row>
    <row r="234">
      <c r="A234" s="9" t="s">
        <v>435</v>
      </c>
      <c r="B234" s="10" t="s">
        <v>436</v>
      </c>
      <c r="C234" s="14" t="s">
        <v>437</v>
      </c>
      <c r="D234" s="10"/>
      <c r="E234" s="10" t="s">
        <v>221</v>
      </c>
      <c r="F234" s="45" t="n">
        <v>11.2</v>
      </c>
      <c r="G234" s="45" t="n">
        <v>0</v>
      </c>
      <c r="H234" s="45">
        <f>ROUND(F234*AO234,2)</f>
      </c>
      <c r="I234" s="45">
        <f>ROUND(F234*AP234,2)</f>
      </c>
      <c r="J234" s="45">
        <f>ROUND(F234*G234,2)</f>
      </c>
      <c r="K234" s="46" t="s">
        <v>54</v>
      </c>
      <c r="Z234" s="45">
        <f>ROUND(IF(AQ234="5",BJ234,0),2)</f>
      </c>
      <c r="AB234" s="45">
        <f>ROUND(IF(AQ234="1",BH234,0),2)</f>
      </c>
      <c r="AC234" s="45">
        <f>ROUND(IF(AQ234="1",BI234,0),2)</f>
      </c>
      <c r="AD234" s="45">
        <f>ROUND(IF(AQ234="7",BH234,0),2)</f>
      </c>
      <c r="AE234" s="45">
        <f>ROUND(IF(AQ234="7",BI234,0),2)</f>
      </c>
      <c r="AF234" s="45">
        <f>ROUND(IF(AQ234="2",BH234,0),2)</f>
      </c>
      <c r="AG234" s="45">
        <f>ROUND(IF(AQ234="2",BI234,0),2)</f>
      </c>
      <c r="AH234" s="45">
        <f>ROUND(IF(AQ234="0",BJ234,0),2)</f>
      </c>
      <c r="AI234" s="28" t="s">
        <v>47</v>
      </c>
      <c r="AJ234" s="45">
        <f>IF(AN234=0,J234,0)</f>
      </c>
      <c r="AK234" s="45">
        <f>IF(AN234=12,J234,0)</f>
      </c>
      <c r="AL234" s="45">
        <f>IF(AN234=21,J234,0)</f>
      </c>
      <c r="AN234" s="45" t="n">
        <v>21</v>
      </c>
      <c r="AO234" s="45">
        <f>G234*0.12984096</f>
      </c>
      <c r="AP234" s="45">
        <f>G234*(1-0.12984096)</f>
      </c>
      <c r="AQ234" s="47" t="s">
        <v>88</v>
      </c>
      <c r="AV234" s="45">
        <f>ROUND(AW234+AX234,2)</f>
      </c>
      <c r="AW234" s="45">
        <f>ROUND(F234*AO234,2)</f>
      </c>
      <c r="AX234" s="45">
        <f>ROUND(F234*AP234,2)</f>
      </c>
      <c r="AY234" s="47" t="s">
        <v>438</v>
      </c>
      <c r="AZ234" s="47" t="s">
        <v>338</v>
      </c>
      <c r="BA234" s="28" t="s">
        <v>57</v>
      </c>
      <c r="BC234" s="45">
        <f>AW234+AX234</f>
      </c>
      <c r="BD234" s="45">
        <f>G234/(100-BE234)*100</f>
      </c>
      <c r="BE234" s="45" t="n">
        <v>0</v>
      </c>
      <c r="BF234" s="45">
        <f>234</f>
      </c>
      <c r="BH234" s="45">
        <f>F234*AO234</f>
      </c>
      <c r="BI234" s="45">
        <f>F234*AP234</f>
      </c>
      <c r="BJ234" s="45">
        <f>F234*G234</f>
      </c>
      <c r="BK234" s="45"/>
      <c r="BL234" s="45" t="n">
        <v>766</v>
      </c>
      <c r="BW234" s="45" t="n">
        <v>21</v>
      </c>
      <c r="BX234" s="14" t="s">
        <v>437</v>
      </c>
    </row>
    <row r="235">
      <c r="A235" s="48"/>
      <c r="C235" s="49" t="s">
        <v>439</v>
      </c>
      <c r="D235" s="49" t="s">
        <v>47</v>
      </c>
      <c r="F235" s="50" t="n">
        <v>11.2</v>
      </c>
      <c r="K235" s="51"/>
    </row>
    <row r="236">
      <c r="A236" s="9" t="s">
        <v>440</v>
      </c>
      <c r="B236" s="10" t="s">
        <v>441</v>
      </c>
      <c r="C236" s="14" t="s">
        <v>442</v>
      </c>
      <c r="D236" s="10"/>
      <c r="E236" s="10" t="s">
        <v>221</v>
      </c>
      <c r="F236" s="45" t="n">
        <v>11.76</v>
      </c>
      <c r="G236" s="45" t="n">
        <v>0</v>
      </c>
      <c r="H236" s="45">
        <f>ROUND(F236*AO236,2)</f>
      </c>
      <c r="I236" s="45">
        <f>ROUND(F236*AP236,2)</f>
      </c>
      <c r="J236" s="45">
        <f>ROUND(F236*G236,2)</f>
      </c>
      <c r="K236" s="46" t="s">
        <v>54</v>
      </c>
      <c r="Z236" s="45">
        <f>ROUND(IF(AQ236="5",BJ236,0),2)</f>
      </c>
      <c r="AB236" s="45">
        <f>ROUND(IF(AQ236="1",BH236,0),2)</f>
      </c>
      <c r="AC236" s="45">
        <f>ROUND(IF(AQ236="1",BI236,0),2)</f>
      </c>
      <c r="AD236" s="45">
        <f>ROUND(IF(AQ236="7",BH236,0),2)</f>
      </c>
      <c r="AE236" s="45">
        <f>ROUND(IF(AQ236="7",BI236,0),2)</f>
      </c>
      <c r="AF236" s="45">
        <f>ROUND(IF(AQ236="2",BH236,0),2)</f>
      </c>
      <c r="AG236" s="45">
        <f>ROUND(IF(AQ236="2",BI236,0),2)</f>
      </c>
      <c r="AH236" s="45">
        <f>ROUND(IF(AQ236="0",BJ236,0),2)</f>
      </c>
      <c r="AI236" s="28" t="s">
        <v>47</v>
      </c>
      <c r="AJ236" s="45">
        <f>IF(AN236=0,J236,0)</f>
      </c>
      <c r="AK236" s="45">
        <f>IF(AN236=12,J236,0)</f>
      </c>
      <c r="AL236" s="45">
        <f>IF(AN236=21,J236,0)</f>
      </c>
      <c r="AN236" s="45" t="n">
        <v>21</v>
      </c>
      <c r="AO236" s="45">
        <f>G236*1</f>
      </c>
      <c r="AP236" s="45">
        <f>G236*(1-1)</f>
      </c>
      <c r="AQ236" s="47" t="s">
        <v>88</v>
      </c>
      <c r="AV236" s="45">
        <f>ROUND(AW236+AX236,2)</f>
      </c>
      <c r="AW236" s="45">
        <f>ROUND(F236*AO236,2)</f>
      </c>
      <c r="AX236" s="45">
        <f>ROUND(F236*AP236,2)</f>
      </c>
      <c r="AY236" s="47" t="s">
        <v>438</v>
      </c>
      <c r="AZ236" s="47" t="s">
        <v>338</v>
      </c>
      <c r="BA236" s="28" t="s">
        <v>57</v>
      </c>
      <c r="BC236" s="45">
        <f>AW236+AX236</f>
      </c>
      <c r="BD236" s="45">
        <f>G236/(100-BE236)*100</f>
      </c>
      <c r="BE236" s="45" t="n">
        <v>0</v>
      </c>
      <c r="BF236" s="45">
        <f>236</f>
      </c>
      <c r="BH236" s="45">
        <f>F236*AO236</f>
      </c>
      <c r="BI236" s="45">
        <f>F236*AP236</f>
      </c>
      <c r="BJ236" s="45">
        <f>F236*G236</f>
      </c>
      <c r="BK236" s="45"/>
      <c r="BL236" s="45" t="n">
        <v>766</v>
      </c>
      <c r="BW236" s="45" t="n">
        <v>21</v>
      </c>
      <c r="BX236" s="14" t="s">
        <v>442</v>
      </c>
    </row>
    <row r="237">
      <c r="A237" s="48"/>
      <c r="C237" s="49" t="s">
        <v>443</v>
      </c>
      <c r="D237" s="49" t="s">
        <v>47</v>
      </c>
      <c r="F237" s="50" t="n">
        <v>11.2</v>
      </c>
      <c r="K237" s="51"/>
    </row>
    <row r="238">
      <c r="A238" s="48"/>
      <c r="C238" s="49" t="s">
        <v>444</v>
      </c>
      <c r="D238" s="49" t="s">
        <v>47</v>
      </c>
      <c r="F238" s="50" t="n">
        <v>0.56</v>
      </c>
      <c r="K238" s="51"/>
    </row>
    <row r="239">
      <c r="A239" s="9" t="s">
        <v>445</v>
      </c>
      <c r="B239" s="10" t="s">
        <v>446</v>
      </c>
      <c r="C239" s="14" t="s">
        <v>447</v>
      </c>
      <c r="D239" s="10"/>
      <c r="E239" s="10" t="s">
        <v>112</v>
      </c>
      <c r="F239" s="45" t="n">
        <v>5.68</v>
      </c>
      <c r="G239" s="45" t="n">
        <v>0</v>
      </c>
      <c r="H239" s="45">
        <f>ROUND(F239*AO239,2)</f>
      </c>
      <c r="I239" s="45">
        <f>ROUND(F239*AP239,2)</f>
      </c>
      <c r="J239" s="45">
        <f>ROUND(F239*G239,2)</f>
      </c>
      <c r="K239" s="46" t="s">
        <v>54</v>
      </c>
      <c r="Z239" s="45">
        <f>ROUND(IF(AQ239="5",BJ239,0),2)</f>
      </c>
      <c r="AB239" s="45">
        <f>ROUND(IF(AQ239="1",BH239,0),2)</f>
      </c>
      <c r="AC239" s="45">
        <f>ROUND(IF(AQ239="1",BI239,0),2)</f>
      </c>
      <c r="AD239" s="45">
        <f>ROUND(IF(AQ239="7",BH239,0),2)</f>
      </c>
      <c r="AE239" s="45">
        <f>ROUND(IF(AQ239="7",BI239,0),2)</f>
      </c>
      <c r="AF239" s="45">
        <f>ROUND(IF(AQ239="2",BH239,0),2)</f>
      </c>
      <c r="AG239" s="45">
        <f>ROUND(IF(AQ239="2",BI239,0),2)</f>
      </c>
      <c r="AH239" s="45">
        <f>ROUND(IF(AQ239="0",BJ239,0),2)</f>
      </c>
      <c r="AI239" s="28" t="s">
        <v>47</v>
      </c>
      <c r="AJ239" s="45">
        <f>IF(AN239=0,J239,0)</f>
      </c>
      <c r="AK239" s="45">
        <f>IF(AN239=12,J239,0)</f>
      </c>
      <c r="AL239" s="45">
        <f>IF(AN239=21,J239,0)</f>
      </c>
      <c r="AN239" s="45" t="n">
        <v>21</v>
      </c>
      <c r="AO239" s="45">
        <f>G239*0.032443523</f>
      </c>
      <c r="AP239" s="45">
        <f>G239*(1-0.032443523)</f>
      </c>
      <c r="AQ239" s="47" t="s">
        <v>88</v>
      </c>
      <c r="AV239" s="45">
        <f>ROUND(AW239+AX239,2)</f>
      </c>
      <c r="AW239" s="45">
        <f>ROUND(F239*AO239,2)</f>
      </c>
      <c r="AX239" s="45">
        <f>ROUND(F239*AP239,2)</f>
      </c>
      <c r="AY239" s="47" t="s">
        <v>438</v>
      </c>
      <c r="AZ239" s="47" t="s">
        <v>338</v>
      </c>
      <c r="BA239" s="28" t="s">
        <v>57</v>
      </c>
      <c r="BC239" s="45">
        <f>AW239+AX239</f>
      </c>
      <c r="BD239" s="45">
        <f>G239/(100-BE239)*100</f>
      </c>
      <c r="BE239" s="45" t="n">
        <v>0</v>
      </c>
      <c r="BF239" s="45">
        <f>239</f>
      </c>
      <c r="BH239" s="45">
        <f>F239*AO239</f>
      </c>
      <c r="BI239" s="45">
        <f>F239*AP239</f>
      </c>
      <c r="BJ239" s="45">
        <f>F239*G239</f>
      </c>
      <c r="BK239" s="45"/>
      <c r="BL239" s="45" t="n">
        <v>766</v>
      </c>
      <c r="BW239" s="45" t="n">
        <v>21</v>
      </c>
      <c r="BX239" s="14" t="s">
        <v>447</v>
      </c>
    </row>
    <row r="240">
      <c r="A240" s="48"/>
      <c r="C240" s="49" t="s">
        <v>448</v>
      </c>
      <c r="D240" s="49" t="s">
        <v>47</v>
      </c>
      <c r="F240" s="50" t="n">
        <v>5.68</v>
      </c>
      <c r="K240" s="51"/>
    </row>
    <row r="241">
      <c r="A241" s="9" t="s">
        <v>449</v>
      </c>
      <c r="B241" s="10" t="s">
        <v>450</v>
      </c>
      <c r="C241" s="14" t="s">
        <v>451</v>
      </c>
      <c r="D241" s="10"/>
      <c r="E241" s="10" t="s">
        <v>112</v>
      </c>
      <c r="F241" s="45" t="n">
        <v>5.964</v>
      </c>
      <c r="G241" s="45" t="n">
        <v>0</v>
      </c>
      <c r="H241" s="45">
        <f>ROUND(F241*AO241,2)</f>
      </c>
      <c r="I241" s="45">
        <f>ROUND(F241*AP241,2)</f>
      </c>
      <c r="J241" s="45">
        <f>ROUND(F241*G241,2)</f>
      </c>
      <c r="K241" s="46" t="s">
        <v>54</v>
      </c>
      <c r="Z241" s="45">
        <f>ROUND(IF(AQ241="5",BJ241,0),2)</f>
      </c>
      <c r="AB241" s="45">
        <f>ROUND(IF(AQ241="1",BH241,0),2)</f>
      </c>
      <c r="AC241" s="45">
        <f>ROUND(IF(AQ241="1",BI241,0),2)</f>
      </c>
      <c r="AD241" s="45">
        <f>ROUND(IF(AQ241="7",BH241,0),2)</f>
      </c>
      <c r="AE241" s="45">
        <f>ROUND(IF(AQ241="7",BI241,0),2)</f>
      </c>
      <c r="AF241" s="45">
        <f>ROUND(IF(AQ241="2",BH241,0),2)</f>
      </c>
      <c r="AG241" s="45">
        <f>ROUND(IF(AQ241="2",BI241,0),2)</f>
      </c>
      <c r="AH241" s="45">
        <f>ROUND(IF(AQ241="0",BJ241,0),2)</f>
      </c>
      <c r="AI241" s="28" t="s">
        <v>47</v>
      </c>
      <c r="AJ241" s="45">
        <f>IF(AN241=0,J241,0)</f>
      </c>
      <c r="AK241" s="45">
        <f>IF(AN241=12,J241,0)</f>
      </c>
      <c r="AL241" s="45">
        <f>IF(AN241=21,J241,0)</f>
      </c>
      <c r="AN241" s="45" t="n">
        <v>21</v>
      </c>
      <c r="AO241" s="45">
        <f>G241*1</f>
      </c>
      <c r="AP241" s="45">
        <f>G241*(1-1)</f>
      </c>
      <c r="AQ241" s="47" t="s">
        <v>88</v>
      </c>
      <c r="AV241" s="45">
        <f>ROUND(AW241+AX241,2)</f>
      </c>
      <c r="AW241" s="45">
        <f>ROUND(F241*AO241,2)</f>
      </c>
      <c r="AX241" s="45">
        <f>ROUND(F241*AP241,2)</f>
      </c>
      <c r="AY241" s="47" t="s">
        <v>438</v>
      </c>
      <c r="AZ241" s="47" t="s">
        <v>338</v>
      </c>
      <c r="BA241" s="28" t="s">
        <v>57</v>
      </c>
      <c r="BC241" s="45">
        <f>AW241+AX241</f>
      </c>
      <c r="BD241" s="45">
        <f>G241/(100-BE241)*100</f>
      </c>
      <c r="BE241" s="45" t="n">
        <v>0</v>
      </c>
      <c r="BF241" s="45">
        <f>241</f>
      </c>
      <c r="BH241" s="45">
        <f>F241*AO241</f>
      </c>
      <c r="BI241" s="45">
        <f>F241*AP241</f>
      </c>
      <c r="BJ241" s="45">
        <f>F241*G241</f>
      </c>
      <c r="BK241" s="45"/>
      <c r="BL241" s="45" t="n">
        <v>766</v>
      </c>
      <c r="BW241" s="45" t="n">
        <v>21</v>
      </c>
      <c r="BX241" s="14" t="s">
        <v>451</v>
      </c>
    </row>
    <row r="242">
      <c r="A242" s="48"/>
      <c r="C242" s="49" t="s">
        <v>448</v>
      </c>
      <c r="D242" s="49" t="s">
        <v>47</v>
      </c>
      <c r="F242" s="50" t="n">
        <v>5.68</v>
      </c>
      <c r="K242" s="51"/>
    </row>
    <row r="243">
      <c r="A243" s="48"/>
      <c r="C243" s="49" t="s">
        <v>452</v>
      </c>
      <c r="D243" s="49" t="s">
        <v>47</v>
      </c>
      <c r="F243" s="50" t="n">
        <v>0.284</v>
      </c>
      <c r="K243" s="51"/>
    </row>
    <row r="244">
      <c r="A244" s="9" t="s">
        <v>453</v>
      </c>
      <c r="B244" s="10" t="s">
        <v>454</v>
      </c>
      <c r="C244" s="14" t="s">
        <v>455</v>
      </c>
      <c r="D244" s="10"/>
      <c r="E244" s="10" t="s">
        <v>221</v>
      </c>
      <c r="F244" s="45" t="n">
        <v>6</v>
      </c>
      <c r="G244" s="45" t="n">
        <v>0</v>
      </c>
      <c r="H244" s="45">
        <f>ROUND(F244*AO244,2)</f>
      </c>
      <c r="I244" s="45">
        <f>ROUND(F244*AP244,2)</f>
      </c>
      <c r="J244" s="45">
        <f>ROUND(F244*G244,2)</f>
      </c>
      <c r="K244" s="46" t="s">
        <v>54</v>
      </c>
      <c r="Z244" s="45">
        <f>ROUND(IF(AQ244="5",BJ244,0),2)</f>
      </c>
      <c r="AB244" s="45">
        <f>ROUND(IF(AQ244="1",BH244,0),2)</f>
      </c>
      <c r="AC244" s="45">
        <f>ROUND(IF(AQ244="1",BI244,0),2)</f>
      </c>
      <c r="AD244" s="45">
        <f>ROUND(IF(AQ244="7",BH244,0),2)</f>
      </c>
      <c r="AE244" s="45">
        <f>ROUND(IF(AQ244="7",BI244,0),2)</f>
      </c>
      <c r="AF244" s="45">
        <f>ROUND(IF(AQ244="2",BH244,0),2)</f>
      </c>
      <c r="AG244" s="45">
        <f>ROUND(IF(AQ244="2",BI244,0),2)</f>
      </c>
      <c r="AH244" s="45">
        <f>ROUND(IF(AQ244="0",BJ244,0),2)</f>
      </c>
      <c r="AI244" s="28" t="s">
        <v>47</v>
      </c>
      <c r="AJ244" s="45">
        <f>IF(AN244=0,J244,0)</f>
      </c>
      <c r="AK244" s="45">
        <f>IF(AN244=12,J244,0)</f>
      </c>
      <c r="AL244" s="45">
        <f>IF(AN244=21,J244,0)</f>
      </c>
      <c r="AN244" s="45" t="n">
        <v>21</v>
      </c>
      <c r="AO244" s="45">
        <f>G244*0.082380952</f>
      </c>
      <c r="AP244" s="45">
        <f>G244*(1-0.082380952)</f>
      </c>
      <c r="AQ244" s="47" t="s">
        <v>88</v>
      </c>
      <c r="AV244" s="45">
        <f>ROUND(AW244+AX244,2)</f>
      </c>
      <c r="AW244" s="45">
        <f>ROUND(F244*AO244,2)</f>
      </c>
      <c r="AX244" s="45">
        <f>ROUND(F244*AP244,2)</f>
      </c>
      <c r="AY244" s="47" t="s">
        <v>438</v>
      </c>
      <c r="AZ244" s="47" t="s">
        <v>338</v>
      </c>
      <c r="BA244" s="28" t="s">
        <v>57</v>
      </c>
      <c r="BC244" s="45">
        <f>AW244+AX244</f>
      </c>
      <c r="BD244" s="45">
        <f>G244/(100-BE244)*100</f>
      </c>
      <c r="BE244" s="45" t="n">
        <v>0</v>
      </c>
      <c r="BF244" s="45">
        <f>244</f>
      </c>
      <c r="BH244" s="45">
        <f>F244*AO244</f>
      </c>
      <c r="BI244" s="45">
        <f>F244*AP244</f>
      </c>
      <c r="BJ244" s="45">
        <f>F244*G244</f>
      </c>
      <c r="BK244" s="45"/>
      <c r="BL244" s="45" t="n">
        <v>766</v>
      </c>
      <c r="BW244" s="45" t="n">
        <v>21</v>
      </c>
      <c r="BX244" s="14" t="s">
        <v>455</v>
      </c>
    </row>
    <row r="245" customHeight="true" ht="13.5">
      <c r="A245" s="48"/>
      <c r="B245" s="57" t="s">
        <v>92</v>
      </c>
      <c r="C245" s="58" t="s">
        <v>456</v>
      </c>
      <c r="D245" s="49"/>
      <c r="E245" s="49"/>
      <c r="F245" s="49"/>
      <c r="G245" s="49"/>
      <c r="H245" s="49"/>
      <c r="I245" s="49"/>
      <c r="J245" s="49"/>
      <c r="K245" s="59"/>
    </row>
    <row r="246">
      <c r="A246" s="48"/>
      <c r="C246" s="49" t="s">
        <v>457</v>
      </c>
      <c r="D246" s="49" t="s">
        <v>47</v>
      </c>
      <c r="F246" s="50" t="n">
        <v>6</v>
      </c>
      <c r="K246" s="51"/>
    </row>
    <row r="247">
      <c r="A247" s="9" t="s">
        <v>458</v>
      </c>
      <c r="B247" s="10" t="s">
        <v>459</v>
      </c>
      <c r="C247" s="14" t="s">
        <v>460</v>
      </c>
      <c r="D247" s="10"/>
      <c r="E247" s="10" t="s">
        <v>176</v>
      </c>
      <c r="F247" s="45" t="n">
        <v>1</v>
      </c>
      <c r="G247" s="45" t="n">
        <v>0</v>
      </c>
      <c r="H247" s="45">
        <f>ROUND(F247*AO247,2)</f>
      </c>
      <c r="I247" s="45">
        <f>ROUND(F247*AP247,2)</f>
      </c>
      <c r="J247" s="45">
        <f>ROUND(F247*G247,2)</f>
      </c>
      <c r="K247" s="46" t="s">
        <v>54</v>
      </c>
      <c r="Z247" s="45">
        <f>ROUND(IF(AQ247="5",BJ247,0),2)</f>
      </c>
      <c r="AB247" s="45">
        <f>ROUND(IF(AQ247="1",BH247,0),2)</f>
      </c>
      <c r="AC247" s="45">
        <f>ROUND(IF(AQ247="1",BI247,0),2)</f>
      </c>
      <c r="AD247" s="45">
        <f>ROUND(IF(AQ247="7",BH247,0),2)</f>
      </c>
      <c r="AE247" s="45">
        <f>ROUND(IF(AQ247="7",BI247,0),2)</f>
      </c>
      <c r="AF247" s="45">
        <f>ROUND(IF(AQ247="2",BH247,0),2)</f>
      </c>
      <c r="AG247" s="45">
        <f>ROUND(IF(AQ247="2",BI247,0),2)</f>
      </c>
      <c r="AH247" s="45">
        <f>ROUND(IF(AQ247="0",BJ247,0),2)</f>
      </c>
      <c r="AI247" s="28" t="s">
        <v>47</v>
      </c>
      <c r="AJ247" s="45">
        <f>IF(AN247=0,J247,0)</f>
      </c>
      <c r="AK247" s="45">
        <f>IF(AN247=12,J247,0)</f>
      </c>
      <c r="AL247" s="45">
        <f>IF(AN247=21,J247,0)</f>
      </c>
      <c r="AN247" s="45" t="n">
        <v>21</v>
      </c>
      <c r="AO247" s="45">
        <f>G247*1</f>
      </c>
      <c r="AP247" s="45">
        <f>G247*(1-1)</f>
      </c>
      <c r="AQ247" s="47" t="s">
        <v>88</v>
      </c>
      <c r="AV247" s="45">
        <f>ROUND(AW247+AX247,2)</f>
      </c>
      <c r="AW247" s="45">
        <f>ROUND(F247*AO247,2)</f>
      </c>
      <c r="AX247" s="45">
        <f>ROUND(F247*AP247,2)</f>
      </c>
      <c r="AY247" s="47" t="s">
        <v>438</v>
      </c>
      <c r="AZ247" s="47" t="s">
        <v>338</v>
      </c>
      <c r="BA247" s="28" t="s">
        <v>57</v>
      </c>
      <c r="BC247" s="45">
        <f>AW247+AX247</f>
      </c>
      <c r="BD247" s="45">
        <f>G247/(100-BE247)*100</f>
      </c>
      <c r="BE247" s="45" t="n">
        <v>0</v>
      </c>
      <c r="BF247" s="45">
        <f>247</f>
      </c>
      <c r="BH247" s="45">
        <f>F247*AO247</f>
      </c>
      <c r="BI247" s="45">
        <f>F247*AP247</f>
      </c>
      <c r="BJ247" s="45">
        <f>F247*G247</f>
      </c>
      <c r="BK247" s="45"/>
      <c r="BL247" s="45" t="n">
        <v>766</v>
      </c>
      <c r="BW247" s="45" t="n">
        <v>21</v>
      </c>
      <c r="BX247" s="14" t="s">
        <v>460</v>
      </c>
    </row>
    <row r="248">
      <c r="A248" s="48"/>
      <c r="C248" s="49" t="s">
        <v>50</v>
      </c>
      <c r="D248" s="49" t="s">
        <v>47</v>
      </c>
      <c r="F248" s="50" t="n">
        <v>1</v>
      </c>
      <c r="K248" s="51"/>
    </row>
    <row r="249">
      <c r="A249" s="9" t="s">
        <v>461</v>
      </c>
      <c r="B249" s="10" t="s">
        <v>462</v>
      </c>
      <c r="C249" s="14" t="s">
        <v>463</v>
      </c>
      <c r="D249" s="10"/>
      <c r="E249" s="10" t="s">
        <v>221</v>
      </c>
      <c r="F249" s="45" t="n">
        <v>4</v>
      </c>
      <c r="G249" s="45" t="n">
        <v>0</v>
      </c>
      <c r="H249" s="45">
        <f>ROUND(F249*AO249,2)</f>
      </c>
      <c r="I249" s="45">
        <f>ROUND(F249*AP249,2)</f>
      </c>
      <c r="J249" s="45">
        <f>ROUND(F249*G249,2)</f>
      </c>
      <c r="K249" s="46" t="s">
        <v>54</v>
      </c>
      <c r="Z249" s="45">
        <f>ROUND(IF(AQ249="5",BJ249,0),2)</f>
      </c>
      <c r="AB249" s="45">
        <f>ROUND(IF(AQ249="1",BH249,0),2)</f>
      </c>
      <c r="AC249" s="45">
        <f>ROUND(IF(AQ249="1",BI249,0),2)</f>
      </c>
      <c r="AD249" s="45">
        <f>ROUND(IF(AQ249="7",BH249,0),2)</f>
      </c>
      <c r="AE249" s="45">
        <f>ROUND(IF(AQ249="7",BI249,0),2)</f>
      </c>
      <c r="AF249" s="45">
        <f>ROUND(IF(AQ249="2",BH249,0),2)</f>
      </c>
      <c r="AG249" s="45">
        <f>ROUND(IF(AQ249="2",BI249,0),2)</f>
      </c>
      <c r="AH249" s="45">
        <f>ROUND(IF(AQ249="0",BJ249,0),2)</f>
      </c>
      <c r="AI249" s="28" t="s">
        <v>47</v>
      </c>
      <c r="AJ249" s="45">
        <f>IF(AN249=0,J249,0)</f>
      </c>
      <c r="AK249" s="45">
        <f>IF(AN249=12,J249,0)</f>
      </c>
      <c r="AL249" s="45">
        <f>IF(AN249=21,J249,0)</f>
      </c>
      <c r="AN249" s="45" t="n">
        <v>21</v>
      </c>
      <c r="AO249" s="45">
        <f>G249*0.059879154</f>
      </c>
      <c r="AP249" s="45">
        <f>G249*(1-0.059879154)</f>
      </c>
      <c r="AQ249" s="47" t="s">
        <v>88</v>
      </c>
      <c r="AV249" s="45">
        <f>ROUND(AW249+AX249,2)</f>
      </c>
      <c r="AW249" s="45">
        <f>ROUND(F249*AO249,2)</f>
      </c>
      <c r="AX249" s="45">
        <f>ROUND(F249*AP249,2)</f>
      </c>
      <c r="AY249" s="47" t="s">
        <v>438</v>
      </c>
      <c r="AZ249" s="47" t="s">
        <v>338</v>
      </c>
      <c r="BA249" s="28" t="s">
        <v>57</v>
      </c>
      <c r="BC249" s="45">
        <f>AW249+AX249</f>
      </c>
      <c r="BD249" s="45">
        <f>G249/(100-BE249)*100</f>
      </c>
      <c r="BE249" s="45" t="n">
        <v>0</v>
      </c>
      <c r="BF249" s="45">
        <f>249</f>
      </c>
      <c r="BH249" s="45">
        <f>F249*AO249</f>
      </c>
      <c r="BI249" s="45">
        <f>F249*AP249</f>
      </c>
      <c r="BJ249" s="45">
        <f>F249*G249</f>
      </c>
      <c r="BK249" s="45"/>
      <c r="BL249" s="45" t="n">
        <v>766</v>
      </c>
      <c r="BW249" s="45" t="n">
        <v>21</v>
      </c>
      <c r="BX249" s="14" t="s">
        <v>463</v>
      </c>
    </row>
    <row r="250">
      <c r="A250" s="48"/>
      <c r="C250" s="49" t="s">
        <v>464</v>
      </c>
      <c r="D250" s="49" t="s">
        <v>47</v>
      </c>
      <c r="F250" s="50" t="n">
        <v>4</v>
      </c>
      <c r="K250" s="51"/>
    </row>
    <row r="251">
      <c r="A251" s="9" t="s">
        <v>465</v>
      </c>
      <c r="B251" s="10" t="s">
        <v>466</v>
      </c>
      <c r="C251" s="14" t="s">
        <v>467</v>
      </c>
      <c r="D251" s="10"/>
      <c r="E251" s="10" t="s">
        <v>112</v>
      </c>
      <c r="F251" s="45" t="n">
        <v>0.9375</v>
      </c>
      <c r="G251" s="45" t="n">
        <v>0</v>
      </c>
      <c r="H251" s="45">
        <f>ROUND(F251*AO251,2)</f>
      </c>
      <c r="I251" s="45">
        <f>ROUND(F251*AP251,2)</f>
      </c>
      <c r="J251" s="45">
        <f>ROUND(F251*G251,2)</f>
      </c>
      <c r="K251" s="46" t="s">
        <v>54</v>
      </c>
      <c r="Z251" s="45">
        <f>ROUND(IF(AQ251="5",BJ251,0),2)</f>
      </c>
      <c r="AB251" s="45">
        <f>ROUND(IF(AQ251="1",BH251,0),2)</f>
      </c>
      <c r="AC251" s="45">
        <f>ROUND(IF(AQ251="1",BI251,0),2)</f>
      </c>
      <c r="AD251" s="45">
        <f>ROUND(IF(AQ251="7",BH251,0),2)</f>
      </c>
      <c r="AE251" s="45">
        <f>ROUND(IF(AQ251="7",BI251,0),2)</f>
      </c>
      <c r="AF251" s="45">
        <f>ROUND(IF(AQ251="2",BH251,0),2)</f>
      </c>
      <c r="AG251" s="45">
        <f>ROUND(IF(AQ251="2",BI251,0),2)</f>
      </c>
      <c r="AH251" s="45">
        <f>ROUND(IF(AQ251="0",BJ251,0),2)</f>
      </c>
      <c r="AI251" s="28" t="s">
        <v>47</v>
      </c>
      <c r="AJ251" s="45">
        <f>IF(AN251=0,J251,0)</f>
      </c>
      <c r="AK251" s="45">
        <f>IF(AN251=12,J251,0)</f>
      </c>
      <c r="AL251" s="45">
        <f>IF(AN251=21,J251,0)</f>
      </c>
      <c r="AN251" s="45" t="n">
        <v>21</v>
      </c>
      <c r="AO251" s="45">
        <f>G251*1</f>
      </c>
      <c r="AP251" s="45">
        <f>G251*(1-1)</f>
      </c>
      <c r="AQ251" s="47" t="s">
        <v>88</v>
      </c>
      <c r="AV251" s="45">
        <f>ROUND(AW251+AX251,2)</f>
      </c>
      <c r="AW251" s="45">
        <f>ROUND(F251*AO251,2)</f>
      </c>
      <c r="AX251" s="45">
        <f>ROUND(F251*AP251,2)</f>
      </c>
      <c r="AY251" s="47" t="s">
        <v>438</v>
      </c>
      <c r="AZ251" s="47" t="s">
        <v>338</v>
      </c>
      <c r="BA251" s="28" t="s">
        <v>57</v>
      </c>
      <c r="BC251" s="45">
        <f>AW251+AX251</f>
      </c>
      <c r="BD251" s="45">
        <f>G251/(100-BE251)*100</f>
      </c>
      <c r="BE251" s="45" t="n">
        <v>0</v>
      </c>
      <c r="BF251" s="45">
        <f>251</f>
      </c>
      <c r="BH251" s="45">
        <f>F251*AO251</f>
      </c>
      <c r="BI251" s="45">
        <f>F251*AP251</f>
      </c>
      <c r="BJ251" s="45">
        <f>F251*G251</f>
      </c>
      <c r="BK251" s="45"/>
      <c r="BL251" s="45" t="n">
        <v>766</v>
      </c>
      <c r="BW251" s="45" t="n">
        <v>21</v>
      </c>
      <c r="BX251" s="14" t="s">
        <v>467</v>
      </c>
    </row>
    <row r="252">
      <c r="A252" s="48"/>
      <c r="C252" s="49" t="s">
        <v>468</v>
      </c>
      <c r="D252" s="49" t="s">
        <v>47</v>
      </c>
      <c r="F252" s="50" t="n">
        <v>0.9375</v>
      </c>
      <c r="K252" s="51"/>
    </row>
    <row r="253">
      <c r="A253" s="9" t="s">
        <v>469</v>
      </c>
      <c r="B253" s="10" t="s">
        <v>470</v>
      </c>
      <c r="C253" s="14" t="s">
        <v>471</v>
      </c>
      <c r="D253" s="10"/>
      <c r="E253" s="10" t="s">
        <v>153</v>
      </c>
      <c r="F253" s="45" t="n">
        <v>0.12749</v>
      </c>
      <c r="G253" s="45" t="n">
        <v>0</v>
      </c>
      <c r="H253" s="45">
        <f>ROUND(F253*AO253,2)</f>
      </c>
      <c r="I253" s="45">
        <f>ROUND(F253*AP253,2)</f>
      </c>
      <c r="J253" s="45">
        <f>ROUND(F253*G253,2)</f>
      </c>
      <c r="K253" s="46" t="s">
        <v>54</v>
      </c>
      <c r="Z253" s="45">
        <f>ROUND(IF(AQ253="5",BJ253,0),2)</f>
      </c>
      <c r="AB253" s="45">
        <f>ROUND(IF(AQ253="1",BH253,0),2)</f>
      </c>
      <c r="AC253" s="45">
        <f>ROUND(IF(AQ253="1",BI253,0),2)</f>
      </c>
      <c r="AD253" s="45">
        <f>ROUND(IF(AQ253="7",BH253,0),2)</f>
      </c>
      <c r="AE253" s="45">
        <f>ROUND(IF(AQ253="7",BI253,0),2)</f>
      </c>
      <c r="AF253" s="45">
        <f>ROUND(IF(AQ253="2",BH253,0),2)</f>
      </c>
      <c r="AG253" s="45">
        <f>ROUND(IF(AQ253="2",BI253,0),2)</f>
      </c>
      <c r="AH253" s="45">
        <f>ROUND(IF(AQ253="0",BJ253,0),2)</f>
      </c>
      <c r="AI253" s="28" t="s">
        <v>47</v>
      </c>
      <c r="AJ253" s="45">
        <f>IF(AN253=0,J253,0)</f>
      </c>
      <c r="AK253" s="45">
        <f>IF(AN253=12,J253,0)</f>
      </c>
      <c r="AL253" s="45">
        <f>IF(AN253=21,J253,0)</f>
      </c>
      <c r="AN253" s="45" t="n">
        <v>21</v>
      </c>
      <c r="AO253" s="45">
        <f>G253*0</f>
      </c>
      <c r="AP253" s="45">
        <f>G253*(1-0)</f>
      </c>
      <c r="AQ253" s="47" t="s">
        <v>74</v>
      </c>
      <c r="AV253" s="45">
        <f>ROUND(AW253+AX253,2)</f>
      </c>
      <c r="AW253" s="45">
        <f>ROUND(F253*AO253,2)</f>
      </c>
      <c r="AX253" s="45">
        <f>ROUND(F253*AP253,2)</f>
      </c>
      <c r="AY253" s="47" t="s">
        <v>438</v>
      </c>
      <c r="AZ253" s="47" t="s">
        <v>338</v>
      </c>
      <c r="BA253" s="28" t="s">
        <v>57</v>
      </c>
      <c r="BC253" s="45">
        <f>AW253+AX253</f>
      </c>
      <c r="BD253" s="45">
        <f>G253/(100-BE253)*100</f>
      </c>
      <c r="BE253" s="45" t="n">
        <v>0</v>
      </c>
      <c r="BF253" s="45">
        <f>253</f>
      </c>
      <c r="BH253" s="45">
        <f>F253*AO253</f>
      </c>
      <c r="BI253" s="45">
        <f>F253*AP253</f>
      </c>
      <c r="BJ253" s="45">
        <f>F253*G253</f>
      </c>
      <c r="BK253" s="45"/>
      <c r="BL253" s="45" t="n">
        <v>766</v>
      </c>
      <c r="BW253" s="45" t="n">
        <v>21</v>
      </c>
      <c r="BX253" s="14" t="s">
        <v>471</v>
      </c>
    </row>
    <row r="254">
      <c r="A254" s="52" t="s">
        <v>47</v>
      </c>
      <c r="B254" s="53" t="s">
        <v>472</v>
      </c>
      <c r="C254" s="54" t="s">
        <v>473</v>
      </c>
      <c r="D254" s="53"/>
      <c r="E254" s="55" t="s">
        <v>4</v>
      </c>
      <c r="F254" s="55" t="s">
        <v>4</v>
      </c>
      <c r="G254" s="55" t="s">
        <v>4</v>
      </c>
      <c r="H254" s="2">
        <f>SUM(H255:H259)</f>
      </c>
      <c r="I254" s="2">
        <f>SUM(I255:I259)</f>
      </c>
      <c r="J254" s="2">
        <f>SUM(J255:J259)</f>
      </c>
      <c r="K254" s="56" t="s">
        <v>47</v>
      </c>
      <c r="AI254" s="28" t="s">
        <v>47</v>
      </c>
      <c r="AS254" s="2">
        <f>SUM(AJ255:AJ259)</f>
      </c>
      <c r="AT254" s="2">
        <f>SUM(AK255:AK259)</f>
      </c>
      <c r="AU254" s="2">
        <f>SUM(AL255:AL259)</f>
      </c>
    </row>
    <row r="255">
      <c r="A255" s="9" t="s">
        <v>474</v>
      </c>
      <c r="B255" s="10" t="s">
        <v>475</v>
      </c>
      <c r="C255" s="14" t="s">
        <v>476</v>
      </c>
      <c r="D255" s="10"/>
      <c r="E255" s="10" t="s">
        <v>176</v>
      </c>
      <c r="F255" s="45" t="n">
        <v>1</v>
      </c>
      <c r="G255" s="45" t="n">
        <v>0</v>
      </c>
      <c r="H255" s="45">
        <f>ROUND(F255*AO255,2)</f>
      </c>
      <c r="I255" s="45">
        <f>ROUND(F255*AP255,2)</f>
      </c>
      <c r="J255" s="45">
        <f>ROUND(F255*G255,2)</f>
      </c>
      <c r="K255" s="46" t="s">
        <v>54</v>
      </c>
      <c r="Z255" s="45">
        <f>ROUND(IF(AQ255="5",BJ255,0),2)</f>
      </c>
      <c r="AB255" s="45">
        <f>ROUND(IF(AQ255="1",BH255,0),2)</f>
      </c>
      <c r="AC255" s="45">
        <f>ROUND(IF(AQ255="1",BI255,0),2)</f>
      </c>
      <c r="AD255" s="45">
        <f>ROUND(IF(AQ255="7",BH255,0),2)</f>
      </c>
      <c r="AE255" s="45">
        <f>ROUND(IF(AQ255="7",BI255,0),2)</f>
      </c>
      <c r="AF255" s="45">
        <f>ROUND(IF(AQ255="2",BH255,0),2)</f>
      </c>
      <c r="AG255" s="45">
        <f>ROUND(IF(AQ255="2",BI255,0),2)</f>
      </c>
      <c r="AH255" s="45">
        <f>ROUND(IF(AQ255="0",BJ255,0),2)</f>
      </c>
      <c r="AI255" s="28" t="s">
        <v>47</v>
      </c>
      <c r="AJ255" s="45">
        <f>IF(AN255=0,J255,0)</f>
      </c>
      <c r="AK255" s="45">
        <f>IF(AN255=12,J255,0)</f>
      </c>
      <c r="AL255" s="45">
        <f>IF(AN255=21,J255,0)</f>
      </c>
      <c r="AN255" s="45" t="n">
        <v>21</v>
      </c>
      <c r="AO255" s="45">
        <f>G255*0.08701594</f>
      </c>
      <c r="AP255" s="45">
        <f>G255*(1-0.08701594)</f>
      </c>
      <c r="AQ255" s="47" t="s">
        <v>88</v>
      </c>
      <c r="AV255" s="45">
        <f>ROUND(AW255+AX255,2)</f>
      </c>
      <c r="AW255" s="45">
        <f>ROUND(F255*AO255,2)</f>
      </c>
      <c r="AX255" s="45">
        <f>ROUND(F255*AP255,2)</f>
      </c>
      <c r="AY255" s="47" t="s">
        <v>477</v>
      </c>
      <c r="AZ255" s="47" t="s">
        <v>338</v>
      </c>
      <c r="BA255" s="28" t="s">
        <v>57</v>
      </c>
      <c r="BC255" s="45">
        <f>AW255+AX255</f>
      </c>
      <c r="BD255" s="45">
        <f>G255/(100-BE255)*100</f>
      </c>
      <c r="BE255" s="45" t="n">
        <v>0</v>
      </c>
      <c r="BF255" s="45">
        <f>255</f>
      </c>
      <c r="BH255" s="45">
        <f>F255*AO255</f>
      </c>
      <c r="BI255" s="45">
        <f>F255*AP255</f>
      </c>
      <c r="BJ255" s="45">
        <f>F255*G255</f>
      </c>
      <c r="BK255" s="45"/>
      <c r="BL255" s="45" t="n">
        <v>767</v>
      </c>
      <c r="BW255" s="45" t="n">
        <v>21</v>
      </c>
      <c r="BX255" s="14" t="s">
        <v>476</v>
      </c>
    </row>
    <row r="256">
      <c r="A256" s="48"/>
      <c r="C256" s="49" t="s">
        <v>50</v>
      </c>
      <c r="D256" s="49" t="s">
        <v>47</v>
      </c>
      <c r="F256" s="50" t="n">
        <v>1</v>
      </c>
      <c r="K256" s="51"/>
    </row>
    <row r="257">
      <c r="A257" s="9" t="s">
        <v>478</v>
      </c>
      <c r="B257" s="10" t="s">
        <v>479</v>
      </c>
      <c r="C257" s="14" t="s">
        <v>480</v>
      </c>
      <c r="D257" s="10"/>
      <c r="E257" s="10" t="s">
        <v>176</v>
      </c>
      <c r="F257" s="45" t="n">
        <v>1</v>
      </c>
      <c r="G257" s="45" t="n">
        <v>0</v>
      </c>
      <c r="H257" s="45">
        <f>ROUND(F257*AO257,2)</f>
      </c>
      <c r="I257" s="45">
        <f>ROUND(F257*AP257,2)</f>
      </c>
      <c r="J257" s="45">
        <f>ROUND(F257*G257,2)</f>
      </c>
      <c r="K257" s="46" t="s">
        <v>54</v>
      </c>
      <c r="Z257" s="45">
        <f>ROUND(IF(AQ257="5",BJ257,0),2)</f>
      </c>
      <c r="AB257" s="45">
        <f>ROUND(IF(AQ257="1",BH257,0),2)</f>
      </c>
      <c r="AC257" s="45">
        <f>ROUND(IF(AQ257="1",BI257,0),2)</f>
      </c>
      <c r="AD257" s="45">
        <f>ROUND(IF(AQ257="7",BH257,0),2)</f>
      </c>
      <c r="AE257" s="45">
        <f>ROUND(IF(AQ257="7",BI257,0),2)</f>
      </c>
      <c r="AF257" s="45">
        <f>ROUND(IF(AQ257="2",BH257,0),2)</f>
      </c>
      <c r="AG257" s="45">
        <f>ROUND(IF(AQ257="2",BI257,0),2)</f>
      </c>
      <c r="AH257" s="45">
        <f>ROUND(IF(AQ257="0",BJ257,0),2)</f>
      </c>
      <c r="AI257" s="28" t="s">
        <v>47</v>
      </c>
      <c r="AJ257" s="45">
        <f>IF(AN257=0,J257,0)</f>
      </c>
      <c r="AK257" s="45">
        <f>IF(AN257=12,J257,0)</f>
      </c>
      <c r="AL257" s="45">
        <f>IF(AN257=21,J257,0)</f>
      </c>
      <c r="AN257" s="45" t="n">
        <v>21</v>
      </c>
      <c r="AO257" s="45">
        <f>G257*1</f>
      </c>
      <c r="AP257" s="45">
        <f>G257*(1-1)</f>
      </c>
      <c r="AQ257" s="47" t="s">
        <v>88</v>
      </c>
      <c r="AV257" s="45">
        <f>ROUND(AW257+AX257,2)</f>
      </c>
      <c r="AW257" s="45">
        <f>ROUND(F257*AO257,2)</f>
      </c>
      <c r="AX257" s="45">
        <f>ROUND(F257*AP257,2)</f>
      </c>
      <c r="AY257" s="47" t="s">
        <v>477</v>
      </c>
      <c r="AZ257" s="47" t="s">
        <v>338</v>
      </c>
      <c r="BA257" s="28" t="s">
        <v>57</v>
      </c>
      <c r="BC257" s="45">
        <f>AW257+AX257</f>
      </c>
      <c r="BD257" s="45">
        <f>G257/(100-BE257)*100</f>
      </c>
      <c r="BE257" s="45" t="n">
        <v>0</v>
      </c>
      <c r="BF257" s="45">
        <f>257</f>
      </c>
      <c r="BH257" s="45">
        <f>F257*AO257</f>
      </c>
      <c r="BI257" s="45">
        <f>F257*AP257</f>
      </c>
      <c r="BJ257" s="45">
        <f>F257*G257</f>
      </c>
      <c r="BK257" s="45"/>
      <c r="BL257" s="45" t="n">
        <v>767</v>
      </c>
      <c r="BW257" s="45" t="n">
        <v>21</v>
      </c>
      <c r="BX257" s="14" t="s">
        <v>480</v>
      </c>
    </row>
    <row r="258">
      <c r="A258" s="48"/>
      <c r="C258" s="49" t="s">
        <v>50</v>
      </c>
      <c r="D258" s="49" t="s">
        <v>47</v>
      </c>
      <c r="F258" s="50" t="n">
        <v>1</v>
      </c>
      <c r="K258" s="51"/>
    </row>
    <row r="259">
      <c r="A259" s="9" t="s">
        <v>481</v>
      </c>
      <c r="B259" s="10" t="s">
        <v>482</v>
      </c>
      <c r="C259" s="14" t="s">
        <v>483</v>
      </c>
      <c r="D259" s="10"/>
      <c r="E259" s="10" t="s">
        <v>153</v>
      </c>
      <c r="F259" s="45" t="n">
        <v>0.09567</v>
      </c>
      <c r="G259" s="45" t="n">
        <v>0</v>
      </c>
      <c r="H259" s="45">
        <f>ROUND(F259*AO259,2)</f>
      </c>
      <c r="I259" s="45">
        <f>ROUND(F259*AP259,2)</f>
      </c>
      <c r="J259" s="45">
        <f>ROUND(F259*G259,2)</f>
      </c>
      <c r="K259" s="46" t="s">
        <v>54</v>
      </c>
      <c r="Z259" s="45">
        <f>ROUND(IF(AQ259="5",BJ259,0),2)</f>
      </c>
      <c r="AB259" s="45">
        <f>ROUND(IF(AQ259="1",BH259,0),2)</f>
      </c>
      <c r="AC259" s="45">
        <f>ROUND(IF(AQ259="1",BI259,0),2)</f>
      </c>
      <c r="AD259" s="45">
        <f>ROUND(IF(AQ259="7",BH259,0),2)</f>
      </c>
      <c r="AE259" s="45">
        <f>ROUND(IF(AQ259="7",BI259,0),2)</f>
      </c>
      <c r="AF259" s="45">
        <f>ROUND(IF(AQ259="2",BH259,0),2)</f>
      </c>
      <c r="AG259" s="45">
        <f>ROUND(IF(AQ259="2",BI259,0),2)</f>
      </c>
      <c r="AH259" s="45">
        <f>ROUND(IF(AQ259="0",BJ259,0),2)</f>
      </c>
      <c r="AI259" s="28" t="s">
        <v>47</v>
      </c>
      <c r="AJ259" s="45">
        <f>IF(AN259=0,J259,0)</f>
      </c>
      <c r="AK259" s="45">
        <f>IF(AN259=12,J259,0)</f>
      </c>
      <c r="AL259" s="45">
        <f>IF(AN259=21,J259,0)</f>
      </c>
      <c r="AN259" s="45" t="n">
        <v>21</v>
      </c>
      <c r="AO259" s="45">
        <f>G259*0</f>
      </c>
      <c r="AP259" s="45">
        <f>G259*(1-0)</f>
      </c>
      <c r="AQ259" s="47" t="s">
        <v>74</v>
      </c>
      <c r="AV259" s="45">
        <f>ROUND(AW259+AX259,2)</f>
      </c>
      <c r="AW259" s="45">
        <f>ROUND(F259*AO259,2)</f>
      </c>
      <c r="AX259" s="45">
        <f>ROUND(F259*AP259,2)</f>
      </c>
      <c r="AY259" s="47" t="s">
        <v>477</v>
      </c>
      <c r="AZ259" s="47" t="s">
        <v>338</v>
      </c>
      <c r="BA259" s="28" t="s">
        <v>57</v>
      </c>
      <c r="BC259" s="45">
        <f>AW259+AX259</f>
      </c>
      <c r="BD259" s="45">
        <f>G259/(100-BE259)*100</f>
      </c>
      <c r="BE259" s="45" t="n">
        <v>0</v>
      </c>
      <c r="BF259" s="45">
        <f>259</f>
      </c>
      <c r="BH259" s="45">
        <f>F259*AO259</f>
      </c>
      <c r="BI259" s="45">
        <f>F259*AP259</f>
      </c>
      <c r="BJ259" s="45">
        <f>F259*G259</f>
      </c>
      <c r="BK259" s="45"/>
      <c r="BL259" s="45" t="n">
        <v>767</v>
      </c>
      <c r="BW259" s="45" t="n">
        <v>21</v>
      </c>
      <c r="BX259" s="14" t="s">
        <v>483</v>
      </c>
    </row>
    <row r="260">
      <c r="A260" s="52" t="s">
        <v>47</v>
      </c>
      <c r="B260" s="53" t="s">
        <v>461</v>
      </c>
      <c r="C260" s="54" t="s">
        <v>484</v>
      </c>
      <c r="D260" s="53"/>
      <c r="E260" s="55" t="s">
        <v>4</v>
      </c>
      <c r="F260" s="55" t="s">
        <v>4</v>
      </c>
      <c r="G260" s="55" t="s">
        <v>4</v>
      </c>
      <c r="H260" s="2">
        <f>SUM(H261:H261)</f>
      </c>
      <c r="I260" s="2">
        <f>SUM(I261:I261)</f>
      </c>
      <c r="J260" s="2">
        <f>SUM(J261:J261)</f>
      </c>
      <c r="K260" s="56" t="s">
        <v>47</v>
      </c>
      <c r="AI260" s="28" t="s">
        <v>47</v>
      </c>
      <c r="AS260" s="2">
        <f>SUM(AJ261:AJ261)</f>
      </c>
      <c r="AT260" s="2">
        <f>SUM(AK261:AK261)</f>
      </c>
      <c r="AU260" s="2">
        <f>SUM(AL261:AL261)</f>
      </c>
    </row>
    <row r="261">
      <c r="A261" s="9" t="s">
        <v>485</v>
      </c>
      <c r="B261" s="10" t="s">
        <v>486</v>
      </c>
      <c r="C261" s="14" t="s">
        <v>487</v>
      </c>
      <c r="D261" s="10"/>
      <c r="E261" s="10" t="s">
        <v>221</v>
      </c>
      <c r="F261" s="45" t="n">
        <v>3</v>
      </c>
      <c r="G261" s="45" t="n">
        <v>0</v>
      </c>
      <c r="H261" s="45">
        <f>ROUND(F261*AO261,2)</f>
      </c>
      <c r="I261" s="45">
        <f>ROUND(F261*AP261,2)</f>
      </c>
      <c r="J261" s="45">
        <f>ROUND(F261*G261,2)</f>
      </c>
      <c r="K261" s="46" t="s">
        <v>54</v>
      </c>
      <c r="Z261" s="45">
        <f>ROUND(IF(AQ261="5",BJ261,0),2)</f>
      </c>
      <c r="AB261" s="45">
        <f>ROUND(IF(AQ261="1",BH261,0),2)</f>
      </c>
      <c r="AC261" s="45">
        <f>ROUND(IF(AQ261="1",BI261,0),2)</f>
      </c>
      <c r="AD261" s="45">
        <f>ROUND(IF(AQ261="7",BH261,0),2)</f>
      </c>
      <c r="AE261" s="45">
        <f>ROUND(IF(AQ261="7",BI261,0),2)</f>
      </c>
      <c r="AF261" s="45">
        <f>ROUND(IF(AQ261="2",BH261,0),2)</f>
      </c>
      <c r="AG261" s="45">
        <f>ROUND(IF(AQ261="2",BI261,0),2)</f>
      </c>
      <c r="AH261" s="45">
        <f>ROUND(IF(AQ261="0",BJ261,0),2)</f>
      </c>
      <c r="AI261" s="28" t="s">
        <v>47</v>
      </c>
      <c r="AJ261" s="45">
        <f>IF(AN261=0,J261,0)</f>
      </c>
      <c r="AK261" s="45">
        <f>IF(AN261=12,J261,0)</f>
      </c>
      <c r="AL261" s="45">
        <f>IF(AN261=21,J261,0)</f>
      </c>
      <c r="AN261" s="45" t="n">
        <v>21</v>
      </c>
      <c r="AO261" s="45">
        <f>G261*0.797286432</f>
      </c>
      <c r="AP261" s="45">
        <f>G261*(1-0.797286432)</f>
      </c>
      <c r="AQ261" s="47" t="s">
        <v>50</v>
      </c>
      <c r="AV261" s="45">
        <f>ROUND(AW261+AX261,2)</f>
      </c>
      <c r="AW261" s="45">
        <f>ROUND(F261*AO261,2)</f>
      </c>
      <c r="AX261" s="45">
        <f>ROUND(F261*AP261,2)</f>
      </c>
      <c r="AY261" s="47" t="s">
        <v>488</v>
      </c>
      <c r="AZ261" s="47" t="s">
        <v>489</v>
      </c>
      <c r="BA261" s="28" t="s">
        <v>57</v>
      </c>
      <c r="BC261" s="45">
        <f>AW261+AX261</f>
      </c>
      <c r="BD261" s="45">
        <f>G261/(100-BE261)*100</f>
      </c>
      <c r="BE261" s="45" t="n">
        <v>0</v>
      </c>
      <c r="BF261" s="45">
        <f>261</f>
      </c>
      <c r="BH261" s="45">
        <f>F261*AO261</f>
      </c>
      <c r="BI261" s="45">
        <f>F261*AP261</f>
      </c>
      <c r="BJ261" s="45">
        <f>F261*G261</f>
      </c>
      <c r="BK261" s="45"/>
      <c r="BL261" s="45" t="n">
        <v>87</v>
      </c>
      <c r="BW261" s="45" t="n">
        <v>21</v>
      </c>
      <c r="BX261" s="14" t="s">
        <v>487</v>
      </c>
    </row>
    <row r="262" customHeight="true" ht="13.5">
      <c r="A262" s="48"/>
      <c r="B262" s="57" t="s">
        <v>92</v>
      </c>
      <c r="C262" s="58" t="s">
        <v>490</v>
      </c>
      <c r="D262" s="49"/>
      <c r="E262" s="49"/>
      <c r="F262" s="49"/>
      <c r="G262" s="49"/>
      <c r="H262" s="49"/>
      <c r="I262" s="49"/>
      <c r="J262" s="49"/>
      <c r="K262" s="59"/>
    </row>
    <row r="263">
      <c r="A263" s="48"/>
      <c r="C263" s="49" t="s">
        <v>66</v>
      </c>
      <c r="D263" s="49" t="s">
        <v>47</v>
      </c>
      <c r="F263" s="50" t="n">
        <v>3</v>
      </c>
      <c r="K263" s="51"/>
    </row>
    <row r="264">
      <c r="A264" s="52" t="s">
        <v>47</v>
      </c>
      <c r="B264" s="53" t="s">
        <v>491</v>
      </c>
      <c r="C264" s="54" t="s">
        <v>492</v>
      </c>
      <c r="D264" s="53"/>
      <c r="E264" s="55" t="s">
        <v>4</v>
      </c>
      <c r="F264" s="55" t="s">
        <v>4</v>
      </c>
      <c r="G264" s="55" t="s">
        <v>4</v>
      </c>
      <c r="H264" s="2">
        <f>SUM(H265:H265)</f>
      </c>
      <c r="I264" s="2">
        <f>SUM(I265:I265)</f>
      </c>
      <c r="J264" s="2">
        <f>SUM(J265:J265)</f>
      </c>
      <c r="K264" s="56" t="s">
        <v>47</v>
      </c>
      <c r="AI264" s="28" t="s">
        <v>47</v>
      </c>
      <c r="AS264" s="2">
        <f>SUM(AJ265:AJ265)</f>
      </c>
      <c r="AT264" s="2">
        <f>SUM(AK265:AK265)</f>
      </c>
      <c r="AU264" s="2">
        <f>SUM(AL265:AL265)</f>
      </c>
    </row>
    <row r="265">
      <c r="A265" s="9" t="s">
        <v>493</v>
      </c>
      <c r="B265" s="10" t="s">
        <v>494</v>
      </c>
      <c r="C265" s="14" t="s">
        <v>495</v>
      </c>
      <c r="D265" s="10"/>
      <c r="E265" s="10" t="s">
        <v>221</v>
      </c>
      <c r="F265" s="45" t="n">
        <v>0.6</v>
      </c>
      <c r="G265" s="45" t="n">
        <v>0</v>
      </c>
      <c r="H265" s="45">
        <f>ROUND(F265*AO265,2)</f>
      </c>
      <c r="I265" s="45">
        <f>ROUND(F265*AP265,2)</f>
      </c>
      <c r="J265" s="45">
        <f>ROUND(F265*G265,2)</f>
      </c>
      <c r="K265" s="46" t="s">
        <v>54</v>
      </c>
      <c r="Z265" s="45">
        <f>ROUND(IF(AQ265="5",BJ265,0),2)</f>
      </c>
      <c r="AB265" s="45">
        <f>ROUND(IF(AQ265="1",BH265,0),2)</f>
      </c>
      <c r="AC265" s="45">
        <f>ROUND(IF(AQ265="1",BI265,0),2)</f>
      </c>
      <c r="AD265" s="45">
        <f>ROUND(IF(AQ265="7",BH265,0),2)</f>
      </c>
      <c r="AE265" s="45">
        <f>ROUND(IF(AQ265="7",BI265,0),2)</f>
      </c>
      <c r="AF265" s="45">
        <f>ROUND(IF(AQ265="2",BH265,0),2)</f>
      </c>
      <c r="AG265" s="45">
        <f>ROUND(IF(AQ265="2",BI265,0),2)</f>
      </c>
      <c r="AH265" s="45">
        <f>ROUND(IF(AQ265="0",BJ265,0),2)</f>
      </c>
      <c r="AI265" s="28" t="s">
        <v>47</v>
      </c>
      <c r="AJ265" s="45">
        <f>IF(AN265=0,J265,0)</f>
      </c>
      <c r="AK265" s="45">
        <f>IF(AN265=12,J265,0)</f>
      </c>
      <c r="AL265" s="45">
        <f>IF(AN265=21,J265,0)</f>
      </c>
      <c r="AN265" s="45" t="n">
        <v>21</v>
      </c>
      <c r="AO265" s="45">
        <f>G265*0.886856572</f>
      </c>
      <c r="AP265" s="45">
        <f>G265*(1-0.886856572)</f>
      </c>
      <c r="AQ265" s="47" t="s">
        <v>50</v>
      </c>
      <c r="AV265" s="45">
        <f>ROUND(AW265+AX265,2)</f>
      </c>
      <c r="AW265" s="45">
        <f>ROUND(F265*AO265,2)</f>
      </c>
      <c r="AX265" s="45">
        <f>ROUND(F265*AP265,2)</f>
      </c>
      <c r="AY265" s="47" t="s">
        <v>496</v>
      </c>
      <c r="AZ265" s="47" t="s">
        <v>497</v>
      </c>
      <c r="BA265" s="28" t="s">
        <v>57</v>
      </c>
      <c r="BC265" s="45">
        <f>AW265+AX265</f>
      </c>
      <c r="BD265" s="45">
        <f>G265/(100-BE265)*100</f>
      </c>
      <c r="BE265" s="45" t="n">
        <v>0</v>
      </c>
      <c r="BF265" s="45">
        <f>265</f>
      </c>
      <c r="BH265" s="45">
        <f>F265*AO265</f>
      </c>
      <c r="BI265" s="45">
        <f>F265*AP265</f>
      </c>
      <c r="BJ265" s="45">
        <f>F265*G265</f>
      </c>
      <c r="BK265" s="45"/>
      <c r="BL265" s="45" t="n">
        <v>95</v>
      </c>
      <c r="BW265" s="45" t="n">
        <v>21</v>
      </c>
      <c r="BX265" s="14" t="s">
        <v>495</v>
      </c>
    </row>
    <row r="266">
      <c r="A266" s="48"/>
      <c r="C266" s="49" t="s">
        <v>498</v>
      </c>
      <c r="D266" s="49" t="s">
        <v>47</v>
      </c>
      <c r="F266" s="50" t="n">
        <v>0.6</v>
      </c>
      <c r="K266" s="51"/>
    </row>
    <row r="267">
      <c r="A267" s="52" t="s">
        <v>47</v>
      </c>
      <c r="B267" s="53" t="s">
        <v>499</v>
      </c>
      <c r="C267" s="54" t="s">
        <v>500</v>
      </c>
      <c r="D267" s="53"/>
      <c r="E267" s="55" t="s">
        <v>4</v>
      </c>
      <c r="F267" s="55" t="s">
        <v>4</v>
      </c>
      <c r="G267" s="55" t="s">
        <v>4</v>
      </c>
      <c r="H267" s="2">
        <f>SUM(H268:H291)</f>
      </c>
      <c r="I267" s="2">
        <f>SUM(I268:I291)</f>
      </c>
      <c r="J267" s="2">
        <f>SUM(J268:J291)</f>
      </c>
      <c r="K267" s="56" t="s">
        <v>47</v>
      </c>
      <c r="AI267" s="28" t="s">
        <v>47</v>
      </c>
      <c r="AS267" s="2">
        <f>SUM(AJ268:AJ291)</f>
      </c>
      <c r="AT267" s="2">
        <f>SUM(AK268:AK291)</f>
      </c>
      <c r="AU267" s="2">
        <f>SUM(AL268:AL291)</f>
      </c>
    </row>
    <row r="268">
      <c r="A268" s="9" t="s">
        <v>491</v>
      </c>
      <c r="B268" s="10" t="s">
        <v>501</v>
      </c>
      <c r="C268" s="14" t="s">
        <v>502</v>
      </c>
      <c r="D268" s="10"/>
      <c r="E268" s="10" t="s">
        <v>176</v>
      </c>
      <c r="F268" s="45" t="n">
        <v>2</v>
      </c>
      <c r="G268" s="45" t="n">
        <v>0</v>
      </c>
      <c r="H268" s="45">
        <f>ROUND(F268*AO268,2)</f>
      </c>
      <c r="I268" s="45">
        <f>ROUND(F268*AP268,2)</f>
      </c>
      <c r="J268" s="45">
        <f>ROUND(F268*G268,2)</f>
      </c>
      <c r="K268" s="46" t="s">
        <v>54</v>
      </c>
      <c r="Z268" s="45">
        <f>ROUND(IF(AQ268="5",BJ268,0),2)</f>
      </c>
      <c r="AB268" s="45">
        <f>ROUND(IF(AQ268="1",BH268,0),2)</f>
      </c>
      <c r="AC268" s="45">
        <f>ROUND(IF(AQ268="1",BI268,0),2)</f>
      </c>
      <c r="AD268" s="45">
        <f>ROUND(IF(AQ268="7",BH268,0),2)</f>
      </c>
      <c r="AE268" s="45">
        <f>ROUND(IF(AQ268="7",BI268,0),2)</f>
      </c>
      <c r="AF268" s="45">
        <f>ROUND(IF(AQ268="2",BH268,0),2)</f>
      </c>
      <c r="AG268" s="45">
        <f>ROUND(IF(AQ268="2",BI268,0),2)</f>
      </c>
      <c r="AH268" s="45">
        <f>ROUND(IF(AQ268="0",BJ268,0),2)</f>
      </c>
      <c r="AI268" s="28" t="s">
        <v>47</v>
      </c>
      <c r="AJ268" s="45">
        <f>IF(AN268=0,J268,0)</f>
      </c>
      <c r="AK268" s="45">
        <f>IF(AN268=12,J268,0)</f>
      </c>
      <c r="AL268" s="45">
        <f>IF(AN268=21,J268,0)</f>
      </c>
      <c r="AN268" s="45" t="n">
        <v>21</v>
      </c>
      <c r="AO268" s="45">
        <f>G268*0</f>
      </c>
      <c r="AP268" s="45">
        <f>G268*(1-0)</f>
      </c>
      <c r="AQ268" s="47" t="s">
        <v>50</v>
      </c>
      <c r="AV268" s="45">
        <f>ROUND(AW268+AX268,2)</f>
      </c>
      <c r="AW268" s="45">
        <f>ROUND(F268*AO268,2)</f>
      </c>
      <c r="AX268" s="45">
        <f>ROUND(F268*AP268,2)</f>
      </c>
      <c r="AY268" s="47" t="s">
        <v>503</v>
      </c>
      <c r="AZ268" s="47" t="s">
        <v>497</v>
      </c>
      <c r="BA268" s="28" t="s">
        <v>57</v>
      </c>
      <c r="BC268" s="45">
        <f>AW268+AX268</f>
      </c>
      <c r="BD268" s="45">
        <f>G268/(100-BE268)*100</f>
      </c>
      <c r="BE268" s="45" t="n">
        <v>0</v>
      </c>
      <c r="BF268" s="45">
        <f>268</f>
      </c>
      <c r="BH268" s="45">
        <f>F268*AO268</f>
      </c>
      <c r="BI268" s="45">
        <f>F268*AP268</f>
      </c>
      <c r="BJ268" s="45">
        <f>F268*G268</f>
      </c>
      <c r="BK268" s="45"/>
      <c r="BL268" s="45" t="n">
        <v>96</v>
      </c>
      <c r="BW268" s="45" t="n">
        <v>21</v>
      </c>
      <c r="BX268" s="14" t="s">
        <v>502</v>
      </c>
    </row>
    <row r="269">
      <c r="A269" s="48"/>
      <c r="C269" s="49" t="s">
        <v>61</v>
      </c>
      <c r="D269" s="49" t="s">
        <v>47</v>
      </c>
      <c r="F269" s="50" t="n">
        <v>2</v>
      </c>
      <c r="K269" s="51"/>
    </row>
    <row r="270">
      <c r="A270" s="9" t="s">
        <v>499</v>
      </c>
      <c r="B270" s="10" t="s">
        <v>504</v>
      </c>
      <c r="C270" s="14" t="s">
        <v>505</v>
      </c>
      <c r="D270" s="10"/>
      <c r="E270" s="10" t="s">
        <v>112</v>
      </c>
      <c r="F270" s="45" t="n">
        <v>10.4</v>
      </c>
      <c r="G270" s="45" t="n">
        <v>0</v>
      </c>
      <c r="H270" s="45">
        <f>ROUND(F270*AO270,2)</f>
      </c>
      <c r="I270" s="45">
        <f>ROUND(F270*AP270,2)</f>
      </c>
      <c r="J270" s="45">
        <f>ROUND(F270*G270,2)</f>
      </c>
      <c r="K270" s="46" t="s">
        <v>54</v>
      </c>
      <c r="Z270" s="45">
        <f>ROUND(IF(AQ270="5",BJ270,0),2)</f>
      </c>
      <c r="AB270" s="45">
        <f>ROUND(IF(AQ270="1",BH270,0),2)</f>
      </c>
      <c r="AC270" s="45">
        <f>ROUND(IF(AQ270="1",BI270,0),2)</f>
      </c>
      <c r="AD270" s="45">
        <f>ROUND(IF(AQ270="7",BH270,0),2)</f>
      </c>
      <c r="AE270" s="45">
        <f>ROUND(IF(AQ270="7",BI270,0),2)</f>
      </c>
      <c r="AF270" s="45">
        <f>ROUND(IF(AQ270="2",BH270,0),2)</f>
      </c>
      <c r="AG270" s="45">
        <f>ROUND(IF(AQ270="2",BI270,0),2)</f>
      </c>
      <c r="AH270" s="45">
        <f>ROUND(IF(AQ270="0",BJ270,0),2)</f>
      </c>
      <c r="AI270" s="28" t="s">
        <v>47</v>
      </c>
      <c r="AJ270" s="45">
        <f>IF(AN270=0,J270,0)</f>
      </c>
      <c r="AK270" s="45">
        <f>IF(AN270=12,J270,0)</f>
      </c>
      <c r="AL270" s="45">
        <f>IF(AN270=21,J270,0)</f>
      </c>
      <c r="AN270" s="45" t="n">
        <v>21</v>
      </c>
      <c r="AO270" s="45">
        <f>G270*0.08423354</f>
      </c>
      <c r="AP270" s="45">
        <f>G270*(1-0.08423354)</f>
      </c>
      <c r="AQ270" s="47" t="s">
        <v>50</v>
      </c>
      <c r="AV270" s="45">
        <f>ROUND(AW270+AX270,2)</f>
      </c>
      <c r="AW270" s="45">
        <f>ROUND(F270*AO270,2)</f>
      </c>
      <c r="AX270" s="45">
        <f>ROUND(F270*AP270,2)</f>
      </c>
      <c r="AY270" s="47" t="s">
        <v>503</v>
      </c>
      <c r="AZ270" s="47" t="s">
        <v>497</v>
      </c>
      <c r="BA270" s="28" t="s">
        <v>57</v>
      </c>
      <c r="BC270" s="45">
        <f>AW270+AX270</f>
      </c>
      <c r="BD270" s="45">
        <f>G270/(100-BE270)*100</f>
      </c>
      <c r="BE270" s="45" t="n">
        <v>0</v>
      </c>
      <c r="BF270" s="45">
        <f>270</f>
      </c>
      <c r="BH270" s="45">
        <f>F270*AO270</f>
      </c>
      <c r="BI270" s="45">
        <f>F270*AP270</f>
      </c>
      <c r="BJ270" s="45">
        <f>F270*G270</f>
      </c>
      <c r="BK270" s="45"/>
      <c r="BL270" s="45" t="n">
        <v>96</v>
      </c>
      <c r="BW270" s="45" t="n">
        <v>21</v>
      </c>
      <c r="BX270" s="14" t="s">
        <v>505</v>
      </c>
    </row>
    <row r="271">
      <c r="A271" s="48"/>
      <c r="C271" s="49" t="s">
        <v>506</v>
      </c>
      <c r="D271" s="49" t="s">
        <v>47</v>
      </c>
      <c r="F271" s="50" t="n">
        <v>10.4</v>
      </c>
      <c r="K271" s="51"/>
    </row>
    <row r="272">
      <c r="A272" s="9" t="s">
        <v>507</v>
      </c>
      <c r="B272" s="10" t="s">
        <v>508</v>
      </c>
      <c r="C272" s="14" t="s">
        <v>509</v>
      </c>
      <c r="D272" s="10"/>
      <c r="E272" s="10" t="s">
        <v>176</v>
      </c>
      <c r="F272" s="45" t="n">
        <v>2</v>
      </c>
      <c r="G272" s="45" t="n">
        <v>0</v>
      </c>
      <c r="H272" s="45">
        <f>ROUND(F272*AO272,2)</f>
      </c>
      <c r="I272" s="45">
        <f>ROUND(F272*AP272,2)</f>
      </c>
      <c r="J272" s="45">
        <f>ROUND(F272*G272,2)</f>
      </c>
      <c r="K272" s="46" t="s">
        <v>54</v>
      </c>
      <c r="Z272" s="45">
        <f>ROUND(IF(AQ272="5",BJ272,0),2)</f>
      </c>
      <c r="AB272" s="45">
        <f>ROUND(IF(AQ272="1",BH272,0),2)</f>
      </c>
      <c r="AC272" s="45">
        <f>ROUND(IF(AQ272="1",BI272,0),2)</f>
      </c>
      <c r="AD272" s="45">
        <f>ROUND(IF(AQ272="7",BH272,0),2)</f>
      </c>
      <c r="AE272" s="45">
        <f>ROUND(IF(AQ272="7",BI272,0),2)</f>
      </c>
      <c r="AF272" s="45">
        <f>ROUND(IF(AQ272="2",BH272,0),2)</f>
      </c>
      <c r="AG272" s="45">
        <f>ROUND(IF(AQ272="2",BI272,0),2)</f>
      </c>
      <c r="AH272" s="45">
        <f>ROUND(IF(AQ272="0",BJ272,0),2)</f>
      </c>
      <c r="AI272" s="28" t="s">
        <v>47</v>
      </c>
      <c r="AJ272" s="45">
        <f>IF(AN272=0,J272,0)</f>
      </c>
      <c r="AK272" s="45">
        <f>IF(AN272=12,J272,0)</f>
      </c>
      <c r="AL272" s="45">
        <f>IF(AN272=21,J272,0)</f>
      </c>
      <c r="AN272" s="45" t="n">
        <v>21</v>
      </c>
      <c r="AO272" s="45">
        <f>G272*0</f>
      </c>
      <c r="AP272" s="45">
        <f>G272*(1-0)</f>
      </c>
      <c r="AQ272" s="47" t="s">
        <v>50</v>
      </c>
      <c r="AV272" s="45">
        <f>ROUND(AW272+AX272,2)</f>
      </c>
      <c r="AW272" s="45">
        <f>ROUND(F272*AO272,2)</f>
      </c>
      <c r="AX272" s="45">
        <f>ROUND(F272*AP272,2)</f>
      </c>
      <c r="AY272" s="47" t="s">
        <v>503</v>
      </c>
      <c r="AZ272" s="47" t="s">
        <v>497</v>
      </c>
      <c r="BA272" s="28" t="s">
        <v>57</v>
      </c>
      <c r="BC272" s="45">
        <f>AW272+AX272</f>
      </c>
      <c r="BD272" s="45">
        <f>G272/(100-BE272)*100</f>
      </c>
      <c r="BE272" s="45" t="n">
        <v>0</v>
      </c>
      <c r="BF272" s="45">
        <f>272</f>
      </c>
      <c r="BH272" s="45">
        <f>F272*AO272</f>
      </c>
      <c r="BI272" s="45">
        <f>F272*AP272</f>
      </c>
      <c r="BJ272" s="45">
        <f>F272*G272</f>
      </c>
      <c r="BK272" s="45"/>
      <c r="BL272" s="45" t="n">
        <v>96</v>
      </c>
      <c r="BW272" s="45" t="n">
        <v>21</v>
      </c>
      <c r="BX272" s="14" t="s">
        <v>509</v>
      </c>
    </row>
    <row r="273">
      <c r="A273" s="48"/>
      <c r="C273" s="49" t="s">
        <v>61</v>
      </c>
      <c r="D273" s="49" t="s">
        <v>47</v>
      </c>
      <c r="F273" s="50" t="n">
        <v>2</v>
      </c>
      <c r="K273" s="51"/>
    </row>
    <row r="274">
      <c r="A274" s="9" t="s">
        <v>510</v>
      </c>
      <c r="B274" s="10" t="s">
        <v>511</v>
      </c>
      <c r="C274" s="14" t="s">
        <v>512</v>
      </c>
      <c r="D274" s="10"/>
      <c r="E274" s="10" t="s">
        <v>176</v>
      </c>
      <c r="F274" s="45" t="n">
        <v>1</v>
      </c>
      <c r="G274" s="45" t="n">
        <v>0</v>
      </c>
      <c r="H274" s="45">
        <f>ROUND(F274*AO274,2)</f>
      </c>
      <c r="I274" s="45">
        <f>ROUND(F274*AP274,2)</f>
      </c>
      <c r="J274" s="45">
        <f>ROUND(F274*G274,2)</f>
      </c>
      <c r="K274" s="46" t="s">
        <v>54</v>
      </c>
      <c r="Z274" s="45">
        <f>ROUND(IF(AQ274="5",BJ274,0),2)</f>
      </c>
      <c r="AB274" s="45">
        <f>ROUND(IF(AQ274="1",BH274,0),2)</f>
      </c>
      <c r="AC274" s="45">
        <f>ROUND(IF(AQ274="1",BI274,0),2)</f>
      </c>
      <c r="AD274" s="45">
        <f>ROUND(IF(AQ274="7",BH274,0),2)</f>
      </c>
      <c r="AE274" s="45">
        <f>ROUND(IF(AQ274="7",BI274,0),2)</f>
      </c>
      <c r="AF274" s="45">
        <f>ROUND(IF(AQ274="2",BH274,0),2)</f>
      </c>
      <c r="AG274" s="45">
        <f>ROUND(IF(AQ274="2",BI274,0),2)</f>
      </c>
      <c r="AH274" s="45">
        <f>ROUND(IF(AQ274="0",BJ274,0),2)</f>
      </c>
      <c r="AI274" s="28" t="s">
        <v>47</v>
      </c>
      <c r="AJ274" s="45">
        <f>IF(AN274=0,J274,0)</f>
      </c>
      <c r="AK274" s="45">
        <f>IF(AN274=12,J274,0)</f>
      </c>
      <c r="AL274" s="45">
        <f>IF(AN274=21,J274,0)</f>
      </c>
      <c r="AN274" s="45" t="n">
        <v>21</v>
      </c>
      <c r="AO274" s="45">
        <f>G274*0</f>
      </c>
      <c r="AP274" s="45">
        <f>G274*(1-0)</f>
      </c>
      <c r="AQ274" s="47" t="s">
        <v>50</v>
      </c>
      <c r="AV274" s="45">
        <f>ROUND(AW274+AX274,2)</f>
      </c>
      <c r="AW274" s="45">
        <f>ROUND(F274*AO274,2)</f>
      </c>
      <c r="AX274" s="45">
        <f>ROUND(F274*AP274,2)</f>
      </c>
      <c r="AY274" s="47" t="s">
        <v>503</v>
      </c>
      <c r="AZ274" s="47" t="s">
        <v>497</v>
      </c>
      <c r="BA274" s="28" t="s">
        <v>57</v>
      </c>
      <c r="BC274" s="45">
        <f>AW274+AX274</f>
      </c>
      <c r="BD274" s="45">
        <f>G274/(100-BE274)*100</f>
      </c>
      <c r="BE274" s="45" t="n">
        <v>0</v>
      </c>
      <c r="BF274" s="45">
        <f>274</f>
      </c>
      <c r="BH274" s="45">
        <f>F274*AO274</f>
      </c>
      <c r="BI274" s="45">
        <f>F274*AP274</f>
      </c>
      <c r="BJ274" s="45">
        <f>F274*G274</f>
      </c>
      <c r="BK274" s="45"/>
      <c r="BL274" s="45" t="n">
        <v>96</v>
      </c>
      <c r="BW274" s="45" t="n">
        <v>21</v>
      </c>
      <c r="BX274" s="14" t="s">
        <v>512</v>
      </c>
    </row>
    <row r="275">
      <c r="A275" s="48"/>
      <c r="C275" s="49" t="s">
        <v>50</v>
      </c>
      <c r="D275" s="49" t="s">
        <v>47</v>
      </c>
      <c r="F275" s="50" t="n">
        <v>1</v>
      </c>
      <c r="K275" s="51"/>
    </row>
    <row r="276">
      <c r="A276" s="9" t="s">
        <v>513</v>
      </c>
      <c r="B276" s="10" t="s">
        <v>514</v>
      </c>
      <c r="C276" s="14" t="s">
        <v>515</v>
      </c>
      <c r="D276" s="10"/>
      <c r="E276" s="10" t="s">
        <v>112</v>
      </c>
      <c r="F276" s="45" t="n">
        <v>0.25</v>
      </c>
      <c r="G276" s="45" t="n">
        <v>0</v>
      </c>
      <c r="H276" s="45">
        <f>ROUND(F276*AO276,2)</f>
      </c>
      <c r="I276" s="45">
        <f>ROUND(F276*AP276,2)</f>
      </c>
      <c r="J276" s="45">
        <f>ROUND(F276*G276,2)</f>
      </c>
      <c r="K276" s="46" t="s">
        <v>54</v>
      </c>
      <c r="Z276" s="45">
        <f>ROUND(IF(AQ276="5",BJ276,0),2)</f>
      </c>
      <c r="AB276" s="45">
        <f>ROUND(IF(AQ276="1",BH276,0),2)</f>
      </c>
      <c r="AC276" s="45">
        <f>ROUND(IF(AQ276="1",BI276,0),2)</f>
      </c>
      <c r="AD276" s="45">
        <f>ROUND(IF(AQ276="7",BH276,0),2)</f>
      </c>
      <c r="AE276" s="45">
        <f>ROUND(IF(AQ276="7",BI276,0),2)</f>
      </c>
      <c r="AF276" s="45">
        <f>ROUND(IF(AQ276="2",BH276,0),2)</f>
      </c>
      <c r="AG276" s="45">
        <f>ROUND(IF(AQ276="2",BI276,0),2)</f>
      </c>
      <c r="AH276" s="45">
        <f>ROUND(IF(AQ276="0",BJ276,0),2)</f>
      </c>
      <c r="AI276" s="28" t="s">
        <v>47</v>
      </c>
      <c r="AJ276" s="45">
        <f>IF(AN276=0,J276,0)</f>
      </c>
      <c r="AK276" s="45">
        <f>IF(AN276=12,J276,0)</f>
      </c>
      <c r="AL276" s="45">
        <f>IF(AN276=21,J276,0)</f>
      </c>
      <c r="AN276" s="45" t="n">
        <v>21</v>
      </c>
      <c r="AO276" s="45">
        <f>G276*0.190595238</f>
      </c>
      <c r="AP276" s="45">
        <f>G276*(1-0.190595238)</f>
      </c>
      <c r="AQ276" s="47" t="s">
        <v>50</v>
      </c>
      <c r="AV276" s="45">
        <f>ROUND(AW276+AX276,2)</f>
      </c>
      <c r="AW276" s="45">
        <f>ROUND(F276*AO276,2)</f>
      </c>
      <c r="AX276" s="45">
        <f>ROUND(F276*AP276,2)</f>
      </c>
      <c r="AY276" s="47" t="s">
        <v>503</v>
      </c>
      <c r="AZ276" s="47" t="s">
        <v>497</v>
      </c>
      <c r="BA276" s="28" t="s">
        <v>57</v>
      </c>
      <c r="BC276" s="45">
        <f>AW276+AX276</f>
      </c>
      <c r="BD276" s="45">
        <f>G276/(100-BE276)*100</f>
      </c>
      <c r="BE276" s="45" t="n">
        <v>0</v>
      </c>
      <c r="BF276" s="45">
        <f>276</f>
      </c>
      <c r="BH276" s="45">
        <f>F276*AO276</f>
      </c>
      <c r="BI276" s="45">
        <f>F276*AP276</f>
      </c>
      <c r="BJ276" s="45">
        <f>F276*G276</f>
      </c>
      <c r="BK276" s="45"/>
      <c r="BL276" s="45" t="n">
        <v>96</v>
      </c>
      <c r="BW276" s="45" t="n">
        <v>21</v>
      </c>
      <c r="BX276" s="14" t="s">
        <v>515</v>
      </c>
    </row>
    <row r="277">
      <c r="A277" s="48"/>
      <c r="C277" s="49" t="s">
        <v>516</v>
      </c>
      <c r="D277" s="49" t="s">
        <v>47</v>
      </c>
      <c r="F277" s="50" t="n">
        <v>0.25</v>
      </c>
      <c r="K277" s="51"/>
    </row>
    <row r="278">
      <c r="A278" s="9" t="s">
        <v>517</v>
      </c>
      <c r="B278" s="10" t="s">
        <v>518</v>
      </c>
      <c r="C278" s="14" t="s">
        <v>519</v>
      </c>
      <c r="D278" s="10"/>
      <c r="E278" s="10" t="s">
        <v>112</v>
      </c>
      <c r="F278" s="45" t="n">
        <v>1.89</v>
      </c>
      <c r="G278" s="45" t="n">
        <v>0</v>
      </c>
      <c r="H278" s="45">
        <f>ROUND(F278*AO278,2)</f>
      </c>
      <c r="I278" s="45">
        <f>ROUND(F278*AP278,2)</f>
      </c>
      <c r="J278" s="45">
        <f>ROUND(F278*G278,2)</f>
      </c>
      <c r="K278" s="46" t="s">
        <v>54</v>
      </c>
      <c r="Z278" s="45">
        <f>ROUND(IF(AQ278="5",BJ278,0),2)</f>
      </c>
      <c r="AB278" s="45">
        <f>ROUND(IF(AQ278="1",BH278,0),2)</f>
      </c>
      <c r="AC278" s="45">
        <f>ROUND(IF(AQ278="1",BI278,0),2)</f>
      </c>
      <c r="AD278" s="45">
        <f>ROUND(IF(AQ278="7",BH278,0),2)</f>
      </c>
      <c r="AE278" s="45">
        <f>ROUND(IF(AQ278="7",BI278,0),2)</f>
      </c>
      <c r="AF278" s="45">
        <f>ROUND(IF(AQ278="2",BH278,0),2)</f>
      </c>
      <c r="AG278" s="45">
        <f>ROUND(IF(AQ278="2",BI278,0),2)</f>
      </c>
      <c r="AH278" s="45">
        <f>ROUND(IF(AQ278="0",BJ278,0),2)</f>
      </c>
      <c r="AI278" s="28" t="s">
        <v>47</v>
      </c>
      <c r="AJ278" s="45">
        <f>IF(AN278=0,J278,0)</f>
      </c>
      <c r="AK278" s="45">
        <f>IF(AN278=12,J278,0)</f>
      </c>
      <c r="AL278" s="45">
        <f>IF(AN278=21,J278,0)</f>
      </c>
      <c r="AN278" s="45" t="n">
        <v>21</v>
      </c>
      <c r="AO278" s="45">
        <f>G278*0.121381851</f>
      </c>
      <c r="AP278" s="45">
        <f>G278*(1-0.121381851)</f>
      </c>
      <c r="AQ278" s="47" t="s">
        <v>50</v>
      </c>
      <c r="AV278" s="45">
        <f>ROUND(AW278+AX278,2)</f>
      </c>
      <c r="AW278" s="45">
        <f>ROUND(F278*AO278,2)</f>
      </c>
      <c r="AX278" s="45">
        <f>ROUND(F278*AP278,2)</f>
      </c>
      <c r="AY278" s="47" t="s">
        <v>503</v>
      </c>
      <c r="AZ278" s="47" t="s">
        <v>497</v>
      </c>
      <c r="BA278" s="28" t="s">
        <v>57</v>
      </c>
      <c r="BC278" s="45">
        <f>AW278+AX278</f>
      </c>
      <c r="BD278" s="45">
        <f>G278/(100-BE278)*100</f>
      </c>
      <c r="BE278" s="45" t="n">
        <v>0</v>
      </c>
      <c r="BF278" s="45">
        <f>278</f>
      </c>
      <c r="BH278" s="45">
        <f>F278*AO278</f>
      </c>
      <c r="BI278" s="45">
        <f>F278*AP278</f>
      </c>
      <c r="BJ278" s="45">
        <f>F278*G278</f>
      </c>
      <c r="BK278" s="45"/>
      <c r="BL278" s="45" t="n">
        <v>96</v>
      </c>
      <c r="BW278" s="45" t="n">
        <v>21</v>
      </c>
      <c r="BX278" s="14" t="s">
        <v>519</v>
      </c>
    </row>
    <row r="279">
      <c r="A279" s="48"/>
      <c r="C279" s="49" t="s">
        <v>520</v>
      </c>
      <c r="D279" s="49" t="s">
        <v>47</v>
      </c>
      <c r="F279" s="50" t="n">
        <v>1.89</v>
      </c>
      <c r="K279" s="51"/>
    </row>
    <row r="280">
      <c r="A280" s="9" t="s">
        <v>521</v>
      </c>
      <c r="B280" s="10" t="s">
        <v>522</v>
      </c>
      <c r="C280" s="14" t="s">
        <v>523</v>
      </c>
      <c r="D280" s="10"/>
      <c r="E280" s="10" t="s">
        <v>53</v>
      </c>
      <c r="F280" s="45" t="n">
        <v>19.7858</v>
      </c>
      <c r="G280" s="45" t="n">
        <v>0</v>
      </c>
      <c r="H280" s="45">
        <f>ROUND(F280*AO280,2)</f>
      </c>
      <c r="I280" s="45">
        <f>ROUND(F280*AP280,2)</f>
      </c>
      <c r="J280" s="45">
        <f>ROUND(F280*G280,2)</f>
      </c>
      <c r="K280" s="46" t="s">
        <v>54</v>
      </c>
      <c r="Z280" s="45">
        <f>ROUND(IF(AQ280="5",BJ280,0),2)</f>
      </c>
      <c r="AB280" s="45">
        <f>ROUND(IF(AQ280="1",BH280,0),2)</f>
      </c>
      <c r="AC280" s="45">
        <f>ROUND(IF(AQ280="1",BI280,0),2)</f>
      </c>
      <c r="AD280" s="45">
        <f>ROUND(IF(AQ280="7",BH280,0),2)</f>
      </c>
      <c r="AE280" s="45">
        <f>ROUND(IF(AQ280="7",BI280,0),2)</f>
      </c>
      <c r="AF280" s="45">
        <f>ROUND(IF(AQ280="2",BH280,0),2)</f>
      </c>
      <c r="AG280" s="45">
        <f>ROUND(IF(AQ280="2",BI280,0),2)</f>
      </c>
      <c r="AH280" s="45">
        <f>ROUND(IF(AQ280="0",BJ280,0),2)</f>
      </c>
      <c r="AI280" s="28" t="s">
        <v>47</v>
      </c>
      <c r="AJ280" s="45">
        <f>IF(AN280=0,J280,0)</f>
      </c>
      <c r="AK280" s="45">
        <f>IF(AN280=12,J280,0)</f>
      </c>
      <c r="AL280" s="45">
        <f>IF(AN280=21,J280,0)</f>
      </c>
      <c r="AN280" s="45" t="n">
        <v>21</v>
      </c>
      <c r="AO280" s="45">
        <f>G280*0.035278974</f>
      </c>
      <c r="AP280" s="45">
        <f>G280*(1-0.035278974)</f>
      </c>
      <c r="AQ280" s="47" t="s">
        <v>50</v>
      </c>
      <c r="AV280" s="45">
        <f>ROUND(AW280+AX280,2)</f>
      </c>
      <c r="AW280" s="45">
        <f>ROUND(F280*AO280,2)</f>
      </c>
      <c r="AX280" s="45">
        <f>ROUND(F280*AP280,2)</f>
      </c>
      <c r="AY280" s="47" t="s">
        <v>503</v>
      </c>
      <c r="AZ280" s="47" t="s">
        <v>497</v>
      </c>
      <c r="BA280" s="28" t="s">
        <v>57</v>
      </c>
      <c r="BC280" s="45">
        <f>AW280+AX280</f>
      </c>
      <c r="BD280" s="45">
        <f>G280/(100-BE280)*100</f>
      </c>
      <c r="BE280" s="45" t="n">
        <v>0</v>
      </c>
      <c r="BF280" s="45">
        <f>280</f>
      </c>
      <c r="BH280" s="45">
        <f>F280*AO280</f>
      </c>
      <c r="BI280" s="45">
        <f>F280*AP280</f>
      </c>
      <c r="BJ280" s="45">
        <f>F280*G280</f>
      </c>
      <c r="BK280" s="45"/>
      <c r="BL280" s="45" t="n">
        <v>96</v>
      </c>
      <c r="BW280" s="45" t="n">
        <v>21</v>
      </c>
      <c r="BX280" s="14" t="s">
        <v>523</v>
      </c>
    </row>
    <row r="281">
      <c r="A281" s="48"/>
      <c r="C281" s="49" t="s">
        <v>524</v>
      </c>
      <c r="D281" s="49" t="s">
        <v>47</v>
      </c>
      <c r="F281" s="50" t="n">
        <v>5.04</v>
      </c>
      <c r="K281" s="51"/>
    </row>
    <row r="282">
      <c r="A282" s="48"/>
      <c r="C282" s="49" t="s">
        <v>525</v>
      </c>
      <c r="D282" s="49" t="s">
        <v>47</v>
      </c>
      <c r="F282" s="50" t="n">
        <v>9.042</v>
      </c>
      <c r="K282" s="51"/>
    </row>
    <row r="283">
      <c r="A283" s="48"/>
      <c r="C283" s="49" t="s">
        <v>526</v>
      </c>
      <c r="D283" s="49" t="s">
        <v>47</v>
      </c>
      <c r="F283" s="50" t="n">
        <v>2.9148</v>
      </c>
      <c r="K283" s="51"/>
    </row>
    <row r="284">
      <c r="A284" s="48"/>
      <c r="C284" s="49" t="s">
        <v>527</v>
      </c>
      <c r="D284" s="49" t="s">
        <v>47</v>
      </c>
      <c r="F284" s="50" t="n">
        <v>6.726</v>
      </c>
      <c r="K284" s="51"/>
    </row>
    <row r="285">
      <c r="A285" s="48"/>
      <c r="C285" s="49" t="s">
        <v>528</v>
      </c>
      <c r="D285" s="49" t="s">
        <v>47</v>
      </c>
      <c r="F285" s="50" t="n">
        <v>-3.12</v>
      </c>
      <c r="K285" s="51"/>
    </row>
    <row r="286">
      <c r="A286" s="48"/>
      <c r="C286" s="49" t="s">
        <v>529</v>
      </c>
      <c r="D286" s="49" t="s">
        <v>47</v>
      </c>
      <c r="F286" s="50" t="n">
        <v>-0.25</v>
      </c>
      <c r="K286" s="51"/>
    </row>
    <row r="287">
      <c r="A287" s="48"/>
      <c r="C287" s="49" t="s">
        <v>530</v>
      </c>
      <c r="D287" s="49" t="s">
        <v>47</v>
      </c>
      <c r="F287" s="50" t="n">
        <v>-0.567</v>
      </c>
      <c r="K287" s="51"/>
    </row>
    <row r="288">
      <c r="A288" s="9" t="s">
        <v>531</v>
      </c>
      <c r="B288" s="10" t="s">
        <v>532</v>
      </c>
      <c r="C288" s="14" t="s">
        <v>533</v>
      </c>
      <c r="D288" s="10"/>
      <c r="E288" s="10" t="s">
        <v>53</v>
      </c>
      <c r="F288" s="45" t="n">
        <v>11.84</v>
      </c>
      <c r="G288" s="45" t="n">
        <v>0</v>
      </c>
      <c r="H288" s="45">
        <f>ROUND(F288*AO288,2)</f>
      </c>
      <c r="I288" s="45">
        <f>ROUND(F288*AP288,2)</f>
      </c>
      <c r="J288" s="45">
        <f>ROUND(F288*G288,2)</f>
      </c>
      <c r="K288" s="46" t="s">
        <v>54</v>
      </c>
      <c r="Z288" s="45">
        <f>ROUND(IF(AQ288="5",BJ288,0),2)</f>
      </c>
      <c r="AB288" s="45">
        <f>ROUND(IF(AQ288="1",BH288,0),2)</f>
      </c>
      <c r="AC288" s="45">
        <f>ROUND(IF(AQ288="1",BI288,0),2)</f>
      </c>
      <c r="AD288" s="45">
        <f>ROUND(IF(AQ288="7",BH288,0),2)</f>
      </c>
      <c r="AE288" s="45">
        <f>ROUND(IF(AQ288="7",BI288,0),2)</f>
      </c>
      <c r="AF288" s="45">
        <f>ROUND(IF(AQ288="2",BH288,0),2)</f>
      </c>
      <c r="AG288" s="45">
        <f>ROUND(IF(AQ288="2",BI288,0),2)</f>
      </c>
      <c r="AH288" s="45">
        <f>ROUND(IF(AQ288="0",BJ288,0),2)</f>
      </c>
      <c r="AI288" s="28" t="s">
        <v>47</v>
      </c>
      <c r="AJ288" s="45">
        <f>IF(AN288=0,J288,0)</f>
      </c>
      <c r="AK288" s="45">
        <f>IF(AN288=12,J288,0)</f>
      </c>
      <c r="AL288" s="45">
        <f>IF(AN288=21,J288,0)</f>
      </c>
      <c r="AN288" s="45" t="n">
        <v>21</v>
      </c>
      <c r="AO288" s="45">
        <f>G288*0</f>
      </c>
      <c r="AP288" s="45">
        <f>G288*(1-0)</f>
      </c>
      <c r="AQ288" s="47" t="s">
        <v>50</v>
      </c>
      <c r="AV288" s="45">
        <f>ROUND(AW288+AX288,2)</f>
      </c>
      <c r="AW288" s="45">
        <f>ROUND(F288*AO288,2)</f>
      </c>
      <c r="AX288" s="45">
        <f>ROUND(F288*AP288,2)</f>
      </c>
      <c r="AY288" s="47" t="s">
        <v>503</v>
      </c>
      <c r="AZ288" s="47" t="s">
        <v>497</v>
      </c>
      <c r="BA288" s="28" t="s">
        <v>57</v>
      </c>
      <c r="BC288" s="45">
        <f>AW288+AX288</f>
      </c>
      <c r="BD288" s="45">
        <f>G288/(100-BE288)*100</f>
      </c>
      <c r="BE288" s="45" t="n">
        <v>0</v>
      </c>
      <c r="BF288" s="45">
        <f>288</f>
      </c>
      <c r="BH288" s="45">
        <f>F288*AO288</f>
      </c>
      <c r="BI288" s="45">
        <f>F288*AP288</f>
      </c>
      <c r="BJ288" s="45">
        <f>F288*G288</f>
      </c>
      <c r="BK288" s="45"/>
      <c r="BL288" s="45" t="n">
        <v>96</v>
      </c>
      <c r="BW288" s="45" t="n">
        <v>21</v>
      </c>
      <c r="BX288" s="14" t="s">
        <v>533</v>
      </c>
    </row>
    <row r="289" customHeight="true" ht="13.5">
      <c r="A289" s="48"/>
      <c r="B289" s="57" t="s">
        <v>92</v>
      </c>
      <c r="C289" s="58" t="s">
        <v>534</v>
      </c>
      <c r="D289" s="49"/>
      <c r="E289" s="49"/>
      <c r="F289" s="49"/>
      <c r="G289" s="49"/>
      <c r="H289" s="49"/>
      <c r="I289" s="49"/>
      <c r="J289" s="49"/>
      <c r="K289" s="59"/>
    </row>
    <row r="290">
      <c r="A290" s="48"/>
      <c r="C290" s="49" t="s">
        <v>535</v>
      </c>
      <c r="D290" s="49" t="s">
        <v>47</v>
      </c>
      <c r="F290" s="50" t="n">
        <v>11.84</v>
      </c>
      <c r="K290" s="51"/>
    </row>
    <row r="291">
      <c r="A291" s="9" t="s">
        <v>536</v>
      </c>
      <c r="B291" s="10" t="s">
        <v>537</v>
      </c>
      <c r="C291" s="14" t="s">
        <v>538</v>
      </c>
      <c r="D291" s="10"/>
      <c r="E291" s="10" t="s">
        <v>53</v>
      </c>
      <c r="F291" s="45" t="n">
        <v>10.173</v>
      </c>
      <c r="G291" s="45" t="n">
        <v>0</v>
      </c>
      <c r="H291" s="45">
        <f>ROUND(F291*AO291,2)</f>
      </c>
      <c r="I291" s="45">
        <f>ROUND(F291*AP291,2)</f>
      </c>
      <c r="J291" s="45">
        <f>ROUND(F291*G291,2)</f>
      </c>
      <c r="K291" s="46" t="s">
        <v>54</v>
      </c>
      <c r="Z291" s="45">
        <f>ROUND(IF(AQ291="5",BJ291,0),2)</f>
      </c>
      <c r="AB291" s="45">
        <f>ROUND(IF(AQ291="1",BH291,0),2)</f>
      </c>
      <c r="AC291" s="45">
        <f>ROUND(IF(AQ291="1",BI291,0),2)</f>
      </c>
      <c r="AD291" s="45">
        <f>ROUND(IF(AQ291="7",BH291,0),2)</f>
      </c>
      <c r="AE291" s="45">
        <f>ROUND(IF(AQ291="7",BI291,0),2)</f>
      </c>
      <c r="AF291" s="45">
        <f>ROUND(IF(AQ291="2",BH291,0),2)</f>
      </c>
      <c r="AG291" s="45">
        <f>ROUND(IF(AQ291="2",BI291,0),2)</f>
      </c>
      <c r="AH291" s="45">
        <f>ROUND(IF(AQ291="0",BJ291,0),2)</f>
      </c>
      <c r="AI291" s="28" t="s">
        <v>47</v>
      </c>
      <c r="AJ291" s="45">
        <f>IF(AN291=0,J291,0)</f>
      </c>
      <c r="AK291" s="45">
        <f>IF(AN291=12,J291,0)</f>
      </c>
      <c r="AL291" s="45">
        <f>IF(AN291=21,J291,0)</f>
      </c>
      <c r="AN291" s="45" t="n">
        <v>21</v>
      </c>
      <c r="AO291" s="45">
        <f>G291*0</f>
      </c>
      <c r="AP291" s="45">
        <f>G291*(1-0)</f>
      </c>
      <c r="AQ291" s="47" t="s">
        <v>50</v>
      </c>
      <c r="AV291" s="45">
        <f>ROUND(AW291+AX291,2)</f>
      </c>
      <c r="AW291" s="45">
        <f>ROUND(F291*AO291,2)</f>
      </c>
      <c r="AX291" s="45">
        <f>ROUND(F291*AP291,2)</f>
      </c>
      <c r="AY291" s="47" t="s">
        <v>503</v>
      </c>
      <c r="AZ291" s="47" t="s">
        <v>497</v>
      </c>
      <c r="BA291" s="28" t="s">
        <v>57</v>
      </c>
      <c r="BC291" s="45">
        <f>AW291+AX291</f>
      </c>
      <c r="BD291" s="45">
        <f>G291/(100-BE291)*100</f>
      </c>
      <c r="BE291" s="45" t="n">
        <v>0</v>
      </c>
      <c r="BF291" s="45">
        <f>291</f>
      </c>
      <c r="BH291" s="45">
        <f>F291*AO291</f>
      </c>
      <c r="BI291" s="45">
        <f>F291*AP291</f>
      </c>
      <c r="BJ291" s="45">
        <f>F291*G291</f>
      </c>
      <c r="BK291" s="45"/>
      <c r="BL291" s="45" t="n">
        <v>96</v>
      </c>
      <c r="BW291" s="45" t="n">
        <v>21</v>
      </c>
      <c r="BX291" s="14" t="s">
        <v>538</v>
      </c>
    </row>
    <row r="292">
      <c r="A292" s="48"/>
      <c r="C292" s="49" t="s">
        <v>539</v>
      </c>
      <c r="D292" s="49" t="s">
        <v>47</v>
      </c>
      <c r="F292" s="50" t="n">
        <v>10.173</v>
      </c>
      <c r="K292" s="51"/>
    </row>
    <row r="293">
      <c r="A293" s="52" t="s">
        <v>47</v>
      </c>
      <c r="B293" s="53" t="s">
        <v>507</v>
      </c>
      <c r="C293" s="54" t="s">
        <v>540</v>
      </c>
      <c r="D293" s="53"/>
      <c r="E293" s="55" t="s">
        <v>4</v>
      </c>
      <c r="F293" s="55" t="s">
        <v>4</v>
      </c>
      <c r="G293" s="55" t="s">
        <v>4</v>
      </c>
      <c r="H293" s="2">
        <f>SUM(H294:H294)</f>
      </c>
      <c r="I293" s="2">
        <f>SUM(I294:I294)</f>
      </c>
      <c r="J293" s="2">
        <f>SUM(J294:J294)</f>
      </c>
      <c r="K293" s="56" t="s">
        <v>47</v>
      </c>
      <c r="AI293" s="28" t="s">
        <v>47</v>
      </c>
      <c r="AS293" s="2">
        <f>SUM(AJ294:AJ294)</f>
      </c>
      <c r="AT293" s="2">
        <f>SUM(AK294:AK294)</f>
      </c>
      <c r="AU293" s="2">
        <f>SUM(AL294:AL294)</f>
      </c>
    </row>
    <row r="294">
      <c r="A294" s="9" t="s">
        <v>541</v>
      </c>
      <c r="B294" s="10" t="s">
        <v>542</v>
      </c>
      <c r="C294" s="14" t="s">
        <v>543</v>
      </c>
      <c r="D294" s="10"/>
      <c r="E294" s="10" t="s">
        <v>221</v>
      </c>
      <c r="F294" s="45" t="n">
        <v>0.6</v>
      </c>
      <c r="G294" s="45" t="n">
        <v>0</v>
      </c>
      <c r="H294" s="45">
        <f>ROUND(F294*AO294,2)</f>
      </c>
      <c r="I294" s="45">
        <f>ROUND(F294*AP294,2)</f>
      </c>
      <c r="J294" s="45">
        <f>ROUND(F294*G294,2)</f>
      </c>
      <c r="K294" s="46" t="s">
        <v>54</v>
      </c>
      <c r="Z294" s="45">
        <f>ROUND(IF(AQ294="5",BJ294,0),2)</f>
      </c>
      <c r="AB294" s="45">
        <f>ROUND(IF(AQ294="1",BH294,0),2)</f>
      </c>
      <c r="AC294" s="45">
        <f>ROUND(IF(AQ294="1",BI294,0),2)</f>
      </c>
      <c r="AD294" s="45">
        <f>ROUND(IF(AQ294="7",BH294,0),2)</f>
      </c>
      <c r="AE294" s="45">
        <f>ROUND(IF(AQ294="7",BI294,0),2)</f>
      </c>
      <c r="AF294" s="45">
        <f>ROUND(IF(AQ294="2",BH294,0),2)</f>
      </c>
      <c r="AG294" s="45">
        <f>ROUND(IF(AQ294="2",BI294,0),2)</f>
      </c>
      <c r="AH294" s="45">
        <f>ROUND(IF(AQ294="0",BJ294,0),2)</f>
      </c>
      <c r="AI294" s="28" t="s">
        <v>47</v>
      </c>
      <c r="AJ294" s="45">
        <f>IF(AN294=0,J294,0)</f>
      </c>
      <c r="AK294" s="45">
        <f>IF(AN294=12,J294,0)</f>
      </c>
      <c r="AL294" s="45">
        <f>IF(AN294=21,J294,0)</f>
      </c>
      <c r="AN294" s="45" t="n">
        <v>21</v>
      </c>
      <c r="AO294" s="45">
        <f>G294*0.310867347</f>
      </c>
      <c r="AP294" s="45">
        <f>G294*(1-0.310867347)</f>
      </c>
      <c r="AQ294" s="47" t="s">
        <v>50</v>
      </c>
      <c r="AV294" s="45">
        <f>ROUND(AW294+AX294,2)</f>
      </c>
      <c r="AW294" s="45">
        <f>ROUND(F294*AO294,2)</f>
      </c>
      <c r="AX294" s="45">
        <f>ROUND(F294*AP294,2)</f>
      </c>
      <c r="AY294" s="47" t="s">
        <v>544</v>
      </c>
      <c r="AZ294" s="47" t="s">
        <v>497</v>
      </c>
      <c r="BA294" s="28" t="s">
        <v>57</v>
      </c>
      <c r="BC294" s="45">
        <f>AW294+AX294</f>
      </c>
      <c r="BD294" s="45">
        <f>G294/(100-BE294)*100</f>
      </c>
      <c r="BE294" s="45" t="n">
        <v>0</v>
      </c>
      <c r="BF294" s="45">
        <f>294</f>
      </c>
      <c r="BH294" s="45">
        <f>F294*AO294</f>
      </c>
      <c r="BI294" s="45">
        <f>F294*AP294</f>
      </c>
      <c r="BJ294" s="45">
        <f>F294*G294</f>
      </c>
      <c r="BK294" s="45"/>
      <c r="BL294" s="45" t="n">
        <v>97</v>
      </c>
      <c r="BW294" s="45" t="n">
        <v>21</v>
      </c>
      <c r="BX294" s="14" t="s">
        <v>543</v>
      </c>
    </row>
    <row r="295">
      <c r="A295" s="48"/>
      <c r="C295" s="49" t="s">
        <v>545</v>
      </c>
      <c r="D295" s="49" t="s">
        <v>47</v>
      </c>
      <c r="F295" s="50" t="n">
        <v>0.6</v>
      </c>
      <c r="K295" s="51"/>
    </row>
    <row r="296">
      <c r="A296" s="52" t="s">
        <v>47</v>
      </c>
      <c r="B296" s="53" t="s">
        <v>546</v>
      </c>
      <c r="C296" s="54" t="s">
        <v>547</v>
      </c>
      <c r="D296" s="53"/>
      <c r="E296" s="55" t="s">
        <v>4</v>
      </c>
      <c r="F296" s="55" t="s">
        <v>4</v>
      </c>
      <c r="G296" s="55" t="s">
        <v>4</v>
      </c>
      <c r="H296" s="2">
        <f>SUM(H297:H297)</f>
      </c>
      <c r="I296" s="2">
        <f>SUM(I297:I297)</f>
      </c>
      <c r="J296" s="2">
        <f>SUM(J297:J297)</f>
      </c>
      <c r="K296" s="56" t="s">
        <v>47</v>
      </c>
      <c r="AI296" s="28" t="s">
        <v>47</v>
      </c>
      <c r="AS296" s="2">
        <f>SUM(AJ297:AJ297)</f>
      </c>
      <c r="AT296" s="2">
        <f>SUM(AK297:AK297)</f>
      </c>
      <c r="AU296" s="2">
        <f>SUM(AL297:AL297)</f>
      </c>
    </row>
    <row r="297">
      <c r="A297" s="9" t="s">
        <v>548</v>
      </c>
      <c r="B297" s="10" t="s">
        <v>549</v>
      </c>
      <c r="C297" s="14" t="s">
        <v>550</v>
      </c>
      <c r="D297" s="10"/>
      <c r="E297" s="10" t="s">
        <v>153</v>
      </c>
      <c r="F297" s="45" t="n">
        <v>60.029</v>
      </c>
      <c r="G297" s="45" t="n">
        <v>0</v>
      </c>
      <c r="H297" s="45">
        <f>ROUND(F297*AO297,2)</f>
      </c>
      <c r="I297" s="45">
        <f>ROUND(F297*AP297,2)</f>
      </c>
      <c r="J297" s="45">
        <f>ROUND(F297*G297,2)</f>
      </c>
      <c r="K297" s="46" t="s">
        <v>54</v>
      </c>
      <c r="Z297" s="45">
        <f>ROUND(IF(AQ297="5",BJ297,0),2)</f>
      </c>
      <c r="AB297" s="45">
        <f>ROUND(IF(AQ297="1",BH297,0),2)</f>
      </c>
      <c r="AC297" s="45">
        <f>ROUND(IF(AQ297="1",BI297,0),2)</f>
      </c>
      <c r="AD297" s="45">
        <f>ROUND(IF(AQ297="7",BH297,0),2)</f>
      </c>
      <c r="AE297" s="45">
        <f>ROUND(IF(AQ297="7",BI297,0),2)</f>
      </c>
      <c r="AF297" s="45">
        <f>ROUND(IF(AQ297="2",BH297,0),2)</f>
      </c>
      <c r="AG297" s="45">
        <f>ROUND(IF(AQ297="2",BI297,0),2)</f>
      </c>
      <c r="AH297" s="45">
        <f>ROUND(IF(AQ297="0",BJ297,0),2)</f>
      </c>
      <c r="AI297" s="28" t="s">
        <v>47</v>
      </c>
      <c r="AJ297" s="45">
        <f>IF(AN297=0,J297,0)</f>
      </c>
      <c r="AK297" s="45">
        <f>IF(AN297=12,J297,0)</f>
      </c>
      <c r="AL297" s="45">
        <f>IF(AN297=21,J297,0)</f>
      </c>
      <c r="AN297" s="45" t="n">
        <v>21</v>
      </c>
      <c r="AO297" s="45">
        <f>G297*0</f>
      </c>
      <c r="AP297" s="45">
        <f>G297*(1-0)</f>
      </c>
      <c r="AQ297" s="47" t="s">
        <v>74</v>
      </c>
      <c r="AV297" s="45">
        <f>ROUND(AW297+AX297,2)</f>
      </c>
      <c r="AW297" s="45">
        <f>ROUND(F297*AO297,2)</f>
      </c>
      <c r="AX297" s="45">
        <f>ROUND(F297*AP297,2)</f>
      </c>
      <c r="AY297" s="47" t="s">
        <v>551</v>
      </c>
      <c r="AZ297" s="47" t="s">
        <v>497</v>
      </c>
      <c r="BA297" s="28" t="s">
        <v>57</v>
      </c>
      <c r="BC297" s="45">
        <f>AW297+AX297</f>
      </c>
      <c r="BD297" s="45">
        <f>G297/(100-BE297)*100</f>
      </c>
      <c r="BE297" s="45" t="n">
        <v>0</v>
      </c>
      <c r="BF297" s="45">
        <f>297</f>
      </c>
      <c r="BH297" s="45">
        <f>F297*AO297</f>
      </c>
      <c r="BI297" s="45">
        <f>F297*AP297</f>
      </c>
      <c r="BJ297" s="45">
        <f>F297*G297</f>
      </c>
      <c r="BK297" s="45"/>
      <c r="BL297" s="45"/>
      <c r="BW297" s="45" t="n">
        <v>21</v>
      </c>
      <c r="BX297" s="14" t="s">
        <v>550</v>
      </c>
    </row>
    <row r="298">
      <c r="A298" s="48"/>
      <c r="C298" s="49" t="s">
        <v>552</v>
      </c>
      <c r="D298" s="49" t="s">
        <v>47</v>
      </c>
      <c r="F298" s="50" t="n">
        <v>60.029</v>
      </c>
      <c r="K298" s="51"/>
    </row>
    <row r="299">
      <c r="A299" s="52" t="s">
        <v>47</v>
      </c>
      <c r="B299" s="53" t="s">
        <v>553</v>
      </c>
      <c r="C299" s="54" t="s">
        <v>554</v>
      </c>
      <c r="D299" s="53"/>
      <c r="E299" s="55" t="s">
        <v>4</v>
      </c>
      <c r="F299" s="55" t="s">
        <v>4</v>
      </c>
      <c r="G299" s="55" t="s">
        <v>4</v>
      </c>
      <c r="H299" s="2">
        <f>SUM(H300:H300)</f>
      </c>
      <c r="I299" s="2">
        <f>SUM(I300:I300)</f>
      </c>
      <c r="J299" s="2">
        <f>SUM(J300:J300)</f>
      </c>
      <c r="K299" s="56" t="s">
        <v>47</v>
      </c>
      <c r="AI299" s="28" t="s">
        <v>47</v>
      </c>
      <c r="AS299" s="2">
        <f>SUM(AJ300:AJ300)</f>
      </c>
      <c r="AT299" s="2">
        <f>SUM(AK300:AK300)</f>
      </c>
      <c r="AU299" s="2">
        <f>SUM(AL300:AL300)</f>
      </c>
    </row>
    <row r="300">
      <c r="A300" s="9" t="s">
        <v>555</v>
      </c>
      <c r="B300" s="10" t="s">
        <v>556</v>
      </c>
      <c r="C300" s="14" t="s">
        <v>557</v>
      </c>
      <c r="D300" s="10"/>
      <c r="E300" s="10" t="s">
        <v>153</v>
      </c>
      <c r="F300" s="45" t="n">
        <v>3.03</v>
      </c>
      <c r="G300" s="45" t="n">
        <v>0</v>
      </c>
      <c r="H300" s="45">
        <f>ROUND(F300*AO300,2)</f>
      </c>
      <c r="I300" s="45">
        <f>ROUND(F300*AP300,2)</f>
      </c>
      <c r="J300" s="45">
        <f>ROUND(F300*G300,2)</f>
      </c>
      <c r="K300" s="46" t="s">
        <v>54</v>
      </c>
      <c r="Z300" s="45">
        <f>ROUND(IF(AQ300="5",BJ300,0),2)</f>
      </c>
      <c r="AB300" s="45">
        <f>ROUND(IF(AQ300="1",BH300,0),2)</f>
      </c>
      <c r="AC300" s="45">
        <f>ROUND(IF(AQ300="1",BI300,0),2)</f>
      </c>
      <c r="AD300" s="45">
        <f>ROUND(IF(AQ300="7",BH300,0),2)</f>
      </c>
      <c r="AE300" s="45">
        <f>ROUND(IF(AQ300="7",BI300,0),2)</f>
      </c>
      <c r="AF300" s="45">
        <f>ROUND(IF(AQ300="2",BH300,0),2)</f>
      </c>
      <c r="AG300" s="45">
        <f>ROUND(IF(AQ300="2",BI300,0),2)</f>
      </c>
      <c r="AH300" s="45">
        <f>ROUND(IF(AQ300="0",BJ300,0),2)</f>
      </c>
      <c r="AI300" s="28" t="s">
        <v>47</v>
      </c>
      <c r="AJ300" s="45">
        <f>IF(AN300=0,J300,0)</f>
      </c>
      <c r="AK300" s="45">
        <f>IF(AN300=12,J300,0)</f>
      </c>
      <c r="AL300" s="45">
        <f>IF(AN300=21,J300,0)</f>
      </c>
      <c r="AN300" s="45" t="n">
        <v>21</v>
      </c>
      <c r="AO300" s="45">
        <f>G300*0</f>
      </c>
      <c r="AP300" s="45">
        <f>G300*(1-0)</f>
      </c>
      <c r="AQ300" s="47" t="s">
        <v>74</v>
      </c>
      <c r="AV300" s="45">
        <f>ROUND(AW300+AX300,2)</f>
      </c>
      <c r="AW300" s="45">
        <f>ROUND(F300*AO300,2)</f>
      </c>
      <c r="AX300" s="45">
        <f>ROUND(F300*AP300,2)</f>
      </c>
      <c r="AY300" s="47" t="s">
        <v>558</v>
      </c>
      <c r="AZ300" s="47" t="s">
        <v>497</v>
      </c>
      <c r="BA300" s="28" t="s">
        <v>57</v>
      </c>
      <c r="BC300" s="45">
        <f>AW300+AX300</f>
      </c>
      <c r="BD300" s="45">
        <f>G300/(100-BE300)*100</f>
      </c>
      <c r="BE300" s="45" t="n">
        <v>0</v>
      </c>
      <c r="BF300" s="45">
        <f>300</f>
      </c>
      <c r="BH300" s="45">
        <f>F300*AO300</f>
      </c>
      <c r="BI300" s="45">
        <f>F300*AP300</f>
      </c>
      <c r="BJ300" s="45">
        <f>F300*G300</f>
      </c>
      <c r="BK300" s="45"/>
      <c r="BL300" s="45"/>
      <c r="BW300" s="45" t="n">
        <v>21</v>
      </c>
      <c r="BX300" s="14" t="s">
        <v>557</v>
      </c>
    </row>
    <row r="301">
      <c r="A301" s="48"/>
      <c r="C301" s="49" t="s">
        <v>559</v>
      </c>
      <c r="D301" s="49" t="s">
        <v>47</v>
      </c>
      <c r="F301" s="50" t="n">
        <v>3.03</v>
      </c>
      <c r="K301" s="51"/>
    </row>
    <row r="302">
      <c r="A302" s="52" t="s">
        <v>47</v>
      </c>
      <c r="B302" s="53" t="s">
        <v>560</v>
      </c>
      <c r="C302" s="54" t="s">
        <v>561</v>
      </c>
      <c r="D302" s="53"/>
      <c r="E302" s="55" t="s">
        <v>4</v>
      </c>
      <c r="F302" s="55" t="s">
        <v>4</v>
      </c>
      <c r="G302" s="55" t="s">
        <v>4</v>
      </c>
      <c r="H302" s="2">
        <f>SUM(H303:H309)</f>
      </c>
      <c r="I302" s="2">
        <f>SUM(I303:I309)</f>
      </c>
      <c r="J302" s="2">
        <f>SUM(J303:J309)</f>
      </c>
      <c r="K302" s="56" t="s">
        <v>47</v>
      </c>
      <c r="AI302" s="28" t="s">
        <v>47</v>
      </c>
      <c r="AS302" s="2">
        <f>SUM(AJ303:AJ309)</f>
      </c>
      <c r="AT302" s="2">
        <f>SUM(AK303:AK309)</f>
      </c>
      <c r="AU302" s="2">
        <f>SUM(AL303:AL309)</f>
      </c>
    </row>
    <row r="303">
      <c r="A303" s="9" t="s">
        <v>562</v>
      </c>
      <c r="B303" s="10" t="s">
        <v>563</v>
      </c>
      <c r="C303" s="14" t="s">
        <v>564</v>
      </c>
      <c r="D303" s="10"/>
      <c r="E303" s="10" t="s">
        <v>153</v>
      </c>
      <c r="F303" s="45" t="n">
        <v>89.7</v>
      </c>
      <c r="G303" s="45" t="n">
        <v>0</v>
      </c>
      <c r="H303" s="45">
        <f>ROUND(F303*AO303,2)</f>
      </c>
      <c r="I303" s="45">
        <f>ROUND(F303*AP303,2)</f>
      </c>
      <c r="J303" s="45">
        <f>ROUND(F303*G303,2)</f>
      </c>
      <c r="K303" s="46" t="s">
        <v>54</v>
      </c>
      <c r="Z303" s="45">
        <f>ROUND(IF(AQ303="5",BJ303,0),2)</f>
      </c>
      <c r="AB303" s="45">
        <f>ROUND(IF(AQ303="1",BH303,0),2)</f>
      </c>
      <c r="AC303" s="45">
        <f>ROUND(IF(AQ303="1",BI303,0),2)</f>
      </c>
      <c r="AD303" s="45">
        <f>ROUND(IF(AQ303="7",BH303,0),2)</f>
      </c>
      <c r="AE303" s="45">
        <f>ROUND(IF(AQ303="7",BI303,0),2)</f>
      </c>
      <c r="AF303" s="45">
        <f>ROUND(IF(AQ303="2",BH303,0),2)</f>
      </c>
      <c r="AG303" s="45">
        <f>ROUND(IF(AQ303="2",BI303,0),2)</f>
      </c>
      <c r="AH303" s="45">
        <f>ROUND(IF(AQ303="0",BJ303,0),2)</f>
      </c>
      <c r="AI303" s="28" t="s">
        <v>47</v>
      </c>
      <c r="AJ303" s="45">
        <f>IF(AN303=0,J303,0)</f>
      </c>
      <c r="AK303" s="45">
        <f>IF(AN303=12,J303,0)</f>
      </c>
      <c r="AL303" s="45">
        <f>IF(AN303=21,J303,0)</f>
      </c>
      <c r="AN303" s="45" t="n">
        <v>21</v>
      </c>
      <c r="AO303" s="45">
        <f>G303*0</f>
      </c>
      <c r="AP303" s="45">
        <f>G303*(1-0)</f>
      </c>
      <c r="AQ303" s="47" t="s">
        <v>74</v>
      </c>
      <c r="AV303" s="45">
        <f>ROUND(AW303+AX303,2)</f>
      </c>
      <c r="AW303" s="45">
        <f>ROUND(F303*AO303,2)</f>
      </c>
      <c r="AX303" s="45">
        <f>ROUND(F303*AP303,2)</f>
      </c>
      <c r="AY303" s="47" t="s">
        <v>565</v>
      </c>
      <c r="AZ303" s="47" t="s">
        <v>497</v>
      </c>
      <c r="BA303" s="28" t="s">
        <v>57</v>
      </c>
      <c r="BC303" s="45">
        <f>AW303+AX303</f>
      </c>
      <c r="BD303" s="45">
        <f>G303/(100-BE303)*100</f>
      </c>
      <c r="BE303" s="45" t="n">
        <v>0</v>
      </c>
      <c r="BF303" s="45">
        <f>303</f>
      </c>
      <c r="BH303" s="45">
        <f>F303*AO303</f>
      </c>
      <c r="BI303" s="45">
        <f>F303*AP303</f>
      </c>
      <c r="BJ303" s="45">
        <f>F303*G303</f>
      </c>
      <c r="BK303" s="45"/>
      <c r="BL303" s="45"/>
      <c r="BW303" s="45" t="n">
        <v>21</v>
      </c>
      <c r="BX303" s="14" t="s">
        <v>564</v>
      </c>
    </row>
    <row r="304">
      <c r="A304" s="48"/>
      <c r="C304" s="49" t="s">
        <v>566</v>
      </c>
      <c r="D304" s="49" t="s">
        <v>47</v>
      </c>
      <c r="F304" s="50" t="n">
        <v>89.7</v>
      </c>
      <c r="K304" s="51"/>
    </row>
    <row r="305">
      <c r="A305" s="9" t="s">
        <v>567</v>
      </c>
      <c r="B305" s="10" t="s">
        <v>568</v>
      </c>
      <c r="C305" s="14" t="s">
        <v>569</v>
      </c>
      <c r="D305" s="10"/>
      <c r="E305" s="10" t="s">
        <v>153</v>
      </c>
      <c r="F305" s="45" t="n">
        <v>0.5803</v>
      </c>
      <c r="G305" s="45" t="n">
        <v>0</v>
      </c>
      <c r="H305" s="45">
        <f>ROUND(F305*AO305,2)</f>
      </c>
      <c r="I305" s="45">
        <f>ROUND(F305*AP305,2)</f>
      </c>
      <c r="J305" s="45">
        <f>ROUND(F305*G305,2)</f>
      </c>
      <c r="K305" s="46" t="s">
        <v>54</v>
      </c>
      <c r="Z305" s="45">
        <f>ROUND(IF(AQ305="5",BJ305,0),2)</f>
      </c>
      <c r="AB305" s="45">
        <f>ROUND(IF(AQ305="1",BH305,0),2)</f>
      </c>
      <c r="AC305" s="45">
        <f>ROUND(IF(AQ305="1",BI305,0),2)</f>
      </c>
      <c r="AD305" s="45">
        <f>ROUND(IF(AQ305="7",BH305,0),2)</f>
      </c>
      <c r="AE305" s="45">
        <f>ROUND(IF(AQ305="7",BI305,0),2)</f>
      </c>
      <c r="AF305" s="45">
        <f>ROUND(IF(AQ305="2",BH305,0),2)</f>
      </c>
      <c r="AG305" s="45">
        <f>ROUND(IF(AQ305="2",BI305,0),2)</f>
      </c>
      <c r="AH305" s="45">
        <f>ROUND(IF(AQ305="0",BJ305,0),2)</f>
      </c>
      <c r="AI305" s="28" t="s">
        <v>47</v>
      </c>
      <c r="AJ305" s="45">
        <f>IF(AN305=0,J305,0)</f>
      </c>
      <c r="AK305" s="45">
        <f>IF(AN305=12,J305,0)</f>
      </c>
      <c r="AL305" s="45">
        <f>IF(AN305=21,J305,0)</f>
      </c>
      <c r="AN305" s="45" t="n">
        <v>21</v>
      </c>
      <c r="AO305" s="45">
        <f>G305*0</f>
      </c>
      <c r="AP305" s="45">
        <f>G305*(1-0)</f>
      </c>
      <c r="AQ305" s="47" t="s">
        <v>74</v>
      </c>
      <c r="AV305" s="45">
        <f>ROUND(AW305+AX305,2)</f>
      </c>
      <c r="AW305" s="45">
        <f>ROUND(F305*AO305,2)</f>
      </c>
      <c r="AX305" s="45">
        <f>ROUND(F305*AP305,2)</f>
      </c>
      <c r="AY305" s="47" t="s">
        <v>565</v>
      </c>
      <c r="AZ305" s="47" t="s">
        <v>497</v>
      </c>
      <c r="BA305" s="28" t="s">
        <v>57</v>
      </c>
      <c r="BC305" s="45">
        <f>AW305+AX305</f>
      </c>
      <c r="BD305" s="45">
        <f>G305/(100-BE305)*100</f>
      </c>
      <c r="BE305" s="45" t="n">
        <v>0</v>
      </c>
      <c r="BF305" s="45">
        <f>305</f>
      </c>
      <c r="BH305" s="45">
        <f>F305*AO305</f>
      </c>
      <c r="BI305" s="45">
        <f>F305*AP305</f>
      </c>
      <c r="BJ305" s="45">
        <f>F305*G305</f>
      </c>
      <c r="BK305" s="45"/>
      <c r="BL305" s="45"/>
      <c r="BW305" s="45" t="n">
        <v>21</v>
      </c>
      <c r="BX305" s="14" t="s">
        <v>569</v>
      </c>
    </row>
    <row r="306">
      <c r="A306" s="48"/>
      <c r="C306" s="49" t="s">
        <v>570</v>
      </c>
      <c r="D306" s="49" t="s">
        <v>47</v>
      </c>
      <c r="F306" s="50" t="n">
        <v>0.5803</v>
      </c>
      <c r="K306" s="51"/>
    </row>
    <row r="307">
      <c r="A307" s="9" t="s">
        <v>571</v>
      </c>
      <c r="B307" s="10" t="s">
        <v>572</v>
      </c>
      <c r="C307" s="14" t="s">
        <v>573</v>
      </c>
      <c r="D307" s="10"/>
      <c r="E307" s="10" t="s">
        <v>153</v>
      </c>
      <c r="F307" s="45" t="n">
        <v>84.82</v>
      </c>
      <c r="G307" s="45" t="n">
        <v>0</v>
      </c>
      <c r="H307" s="45">
        <f>ROUND(F307*AO307,2)</f>
      </c>
      <c r="I307" s="45">
        <f>ROUND(F307*AP307,2)</f>
      </c>
      <c r="J307" s="45">
        <f>ROUND(F307*G307,2)</f>
      </c>
      <c r="K307" s="46" t="s">
        <v>54</v>
      </c>
      <c r="Z307" s="45">
        <f>ROUND(IF(AQ307="5",BJ307,0),2)</f>
      </c>
      <c r="AB307" s="45">
        <f>ROUND(IF(AQ307="1",BH307,0),2)</f>
      </c>
      <c r="AC307" s="45">
        <f>ROUND(IF(AQ307="1",BI307,0),2)</f>
      </c>
      <c r="AD307" s="45">
        <f>ROUND(IF(AQ307="7",BH307,0),2)</f>
      </c>
      <c r="AE307" s="45">
        <f>ROUND(IF(AQ307="7",BI307,0),2)</f>
      </c>
      <c r="AF307" s="45">
        <f>ROUND(IF(AQ307="2",BH307,0),2)</f>
      </c>
      <c r="AG307" s="45">
        <f>ROUND(IF(AQ307="2",BI307,0),2)</f>
      </c>
      <c r="AH307" s="45">
        <f>ROUND(IF(AQ307="0",BJ307,0),2)</f>
      </c>
      <c r="AI307" s="28" t="s">
        <v>47</v>
      </c>
      <c r="AJ307" s="45">
        <f>IF(AN307=0,J307,0)</f>
      </c>
      <c r="AK307" s="45">
        <f>IF(AN307=12,J307,0)</f>
      </c>
      <c r="AL307" s="45">
        <f>IF(AN307=21,J307,0)</f>
      </c>
      <c r="AN307" s="45" t="n">
        <v>21</v>
      </c>
      <c r="AO307" s="45">
        <f>G307*0</f>
      </c>
      <c r="AP307" s="45">
        <f>G307*(1-0)</f>
      </c>
      <c r="AQ307" s="47" t="s">
        <v>74</v>
      </c>
      <c r="AV307" s="45">
        <f>ROUND(AW307+AX307,2)</f>
      </c>
      <c r="AW307" s="45">
        <f>ROUND(F307*AO307,2)</f>
      </c>
      <c r="AX307" s="45">
        <f>ROUND(F307*AP307,2)</f>
      </c>
      <c r="AY307" s="47" t="s">
        <v>565</v>
      </c>
      <c r="AZ307" s="47" t="s">
        <v>497</v>
      </c>
      <c r="BA307" s="28" t="s">
        <v>57</v>
      </c>
      <c r="BC307" s="45">
        <f>AW307+AX307</f>
      </c>
      <c r="BD307" s="45">
        <f>G307/(100-BE307)*100</f>
      </c>
      <c r="BE307" s="45" t="n">
        <v>0</v>
      </c>
      <c r="BF307" s="45">
        <f>307</f>
      </c>
      <c r="BH307" s="45">
        <f>F307*AO307</f>
      </c>
      <c r="BI307" s="45">
        <f>F307*AP307</f>
      </c>
      <c r="BJ307" s="45">
        <f>F307*G307</f>
      </c>
      <c r="BK307" s="45"/>
      <c r="BL307" s="45"/>
      <c r="BW307" s="45" t="n">
        <v>21</v>
      </c>
      <c r="BX307" s="14" t="s">
        <v>573</v>
      </c>
    </row>
    <row r="308">
      <c r="A308" s="48"/>
      <c r="C308" s="49" t="s">
        <v>574</v>
      </c>
      <c r="D308" s="49" t="s">
        <v>47</v>
      </c>
      <c r="F308" s="50" t="n">
        <v>84.82</v>
      </c>
      <c r="K308" s="51"/>
    </row>
    <row r="309">
      <c r="A309" s="9" t="s">
        <v>575</v>
      </c>
      <c r="B309" s="10" t="s">
        <v>576</v>
      </c>
      <c r="C309" s="14" t="s">
        <v>577</v>
      </c>
      <c r="D309" s="10"/>
      <c r="E309" s="10" t="s">
        <v>153</v>
      </c>
      <c r="F309" s="45" t="n">
        <v>4.3</v>
      </c>
      <c r="G309" s="45" t="n">
        <v>0</v>
      </c>
      <c r="H309" s="45">
        <f>ROUND(F309*AO309,2)</f>
      </c>
      <c r="I309" s="45">
        <f>ROUND(F309*AP309,2)</f>
      </c>
      <c r="J309" s="45">
        <f>ROUND(F309*G309,2)</f>
      </c>
      <c r="K309" s="46" t="s">
        <v>54</v>
      </c>
      <c r="Z309" s="45">
        <f>ROUND(IF(AQ309="5",BJ309,0),2)</f>
      </c>
      <c r="AB309" s="45">
        <f>ROUND(IF(AQ309="1",BH309,0),2)</f>
      </c>
      <c r="AC309" s="45">
        <f>ROUND(IF(AQ309="1",BI309,0),2)</f>
      </c>
      <c r="AD309" s="45">
        <f>ROUND(IF(AQ309="7",BH309,0),2)</f>
      </c>
      <c r="AE309" s="45">
        <f>ROUND(IF(AQ309="7",BI309,0),2)</f>
      </c>
      <c r="AF309" s="45">
        <f>ROUND(IF(AQ309="2",BH309,0),2)</f>
      </c>
      <c r="AG309" s="45">
        <f>ROUND(IF(AQ309="2",BI309,0),2)</f>
      </c>
      <c r="AH309" s="45">
        <f>ROUND(IF(AQ309="0",BJ309,0),2)</f>
      </c>
      <c r="AI309" s="28" t="s">
        <v>47</v>
      </c>
      <c r="AJ309" s="45">
        <f>IF(AN309=0,J309,0)</f>
      </c>
      <c r="AK309" s="45">
        <f>IF(AN309=12,J309,0)</f>
      </c>
      <c r="AL309" s="45">
        <f>IF(AN309=21,J309,0)</f>
      </c>
      <c r="AN309" s="45" t="n">
        <v>21</v>
      </c>
      <c r="AO309" s="45">
        <f>G309*0</f>
      </c>
      <c r="AP309" s="45">
        <f>G309*(1-0)</f>
      </c>
      <c r="AQ309" s="47" t="s">
        <v>74</v>
      </c>
      <c r="AV309" s="45">
        <f>ROUND(AW309+AX309,2)</f>
      </c>
      <c r="AW309" s="45">
        <f>ROUND(F309*AO309,2)</f>
      </c>
      <c r="AX309" s="45">
        <f>ROUND(F309*AP309,2)</f>
      </c>
      <c r="AY309" s="47" t="s">
        <v>565</v>
      </c>
      <c r="AZ309" s="47" t="s">
        <v>497</v>
      </c>
      <c r="BA309" s="28" t="s">
        <v>57</v>
      </c>
      <c r="BC309" s="45">
        <f>AW309+AX309</f>
      </c>
      <c r="BD309" s="45">
        <f>G309/(100-BE309)*100</f>
      </c>
      <c r="BE309" s="45" t="n">
        <v>0</v>
      </c>
      <c r="BF309" s="45">
        <f>309</f>
      </c>
      <c r="BH309" s="45">
        <f>F309*AO309</f>
      </c>
      <c r="BI309" s="45">
        <f>F309*AP309</f>
      </c>
      <c r="BJ309" s="45">
        <f>F309*G309</f>
      </c>
      <c r="BK309" s="45"/>
      <c r="BL309" s="45"/>
      <c r="BW309" s="45" t="n">
        <v>21</v>
      </c>
      <c r="BX309" s="14" t="s">
        <v>577</v>
      </c>
    </row>
    <row r="310">
      <c r="A310" s="60"/>
      <c r="B310" s="61"/>
      <c r="C310" s="62" t="s">
        <v>578</v>
      </c>
      <c r="D310" s="62" t="s">
        <v>47</v>
      </c>
      <c r="E310" s="61"/>
      <c r="F310" s="63" t="n">
        <v>4.3</v>
      </c>
      <c r="G310" s="61"/>
      <c r="H310" s="61"/>
      <c r="I310" s="61"/>
      <c r="J310" s="61"/>
      <c r="K310" s="64"/>
    </row>
    <row r="311">
      <c r="H311" s="65" t="s">
        <v>579</v>
      </c>
      <c r="I311" s="65"/>
      <c r="J311" s="66">
        <f>ROUND(J12+J15+J24+J29+J37+J45+J69+J89+J95+J111+J124+J133+J139+J144+J167+J172+J191+J228+J233+J254+J260+J264+J267+J293+J296+J299+J302,2)</f>
      </c>
    </row>
    <row r="312">
      <c r="A312" s="67" t="s">
        <v>580</v>
      </c>
    </row>
    <row r="313" customHeight="true" ht="12.75">
      <c r="A313" s="14" t="s">
        <v>47</v>
      </c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</sheetData>
  <mergeCells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  <mergeCell ref="C8:D9"/>
    <mergeCell ref="G2:G3"/>
    <mergeCell ref="G4:G5"/>
    <mergeCell ref="G6:G7"/>
    <mergeCell ref="G8:G9"/>
    <mergeCell ref="I2:K3"/>
    <mergeCell ref="I4:K5"/>
    <mergeCell ref="I6:K7"/>
    <mergeCell ref="I8:K9"/>
    <mergeCell ref="C10:D10"/>
    <mergeCell ref="C11:D11"/>
    <mergeCell ref="H10:J10"/>
    <mergeCell ref="C12:D12"/>
    <mergeCell ref="C13:D13"/>
    <mergeCell ref="C15:D15"/>
    <mergeCell ref="C16:D16"/>
    <mergeCell ref="C18:D18"/>
    <mergeCell ref="C20:D20"/>
    <mergeCell ref="C22:D22"/>
    <mergeCell ref="C24:D24"/>
    <mergeCell ref="C25:D25"/>
    <mergeCell ref="C29:D29"/>
    <mergeCell ref="C30:D30"/>
    <mergeCell ref="C31:K31"/>
    <mergeCell ref="C33:D33"/>
    <mergeCell ref="C37:D37"/>
    <mergeCell ref="C38:D38"/>
    <mergeCell ref="C40:D40"/>
    <mergeCell ref="C43:D43"/>
    <mergeCell ref="C45:D45"/>
    <mergeCell ref="C46:D46"/>
    <mergeCell ref="C47:K47"/>
    <mergeCell ref="C49:D49"/>
    <mergeCell ref="C50:K50"/>
    <mergeCell ref="C52:D52"/>
    <mergeCell ref="C55:D55"/>
    <mergeCell ref="C58:D58"/>
    <mergeCell ref="C60:D60"/>
    <mergeCell ref="C62:D62"/>
    <mergeCell ref="C64:D64"/>
    <mergeCell ref="C66:D66"/>
    <mergeCell ref="C67:K67"/>
    <mergeCell ref="C69:D69"/>
    <mergeCell ref="C70:D70"/>
    <mergeCell ref="C77:D77"/>
    <mergeCell ref="C78:K78"/>
    <mergeCell ref="C80:D80"/>
    <mergeCell ref="C82:D82"/>
    <mergeCell ref="C84:D84"/>
    <mergeCell ref="C86:D86"/>
    <mergeCell ref="C89:D89"/>
    <mergeCell ref="C90:D90"/>
    <mergeCell ref="C91:K91"/>
    <mergeCell ref="C93:D93"/>
    <mergeCell ref="C95:D95"/>
    <mergeCell ref="C96:D96"/>
    <mergeCell ref="C98:D98"/>
    <mergeCell ref="C100:D100"/>
    <mergeCell ref="C102:D102"/>
    <mergeCell ref="C104:D104"/>
    <mergeCell ref="C106:D106"/>
    <mergeCell ref="C109:D109"/>
    <mergeCell ref="C111:D111"/>
    <mergeCell ref="C112:D112"/>
    <mergeCell ref="C114:D114"/>
    <mergeCell ref="C116:D116"/>
    <mergeCell ref="C118:D118"/>
    <mergeCell ref="C120:D120"/>
    <mergeCell ref="C122:D122"/>
    <mergeCell ref="C124:D124"/>
    <mergeCell ref="C125:D125"/>
    <mergeCell ref="C130:D130"/>
    <mergeCell ref="C133:D133"/>
    <mergeCell ref="C134:D134"/>
    <mergeCell ref="C139:D139"/>
    <mergeCell ref="C140:D140"/>
    <mergeCell ref="C142:D142"/>
    <mergeCell ref="C144:D144"/>
    <mergeCell ref="C145:D145"/>
    <mergeCell ref="C146:K146"/>
    <mergeCell ref="C148:D148"/>
    <mergeCell ref="C149:K149"/>
    <mergeCell ref="C151:D151"/>
    <mergeCell ref="C154:D154"/>
    <mergeCell ref="C157:D157"/>
    <mergeCell ref="C158:K158"/>
    <mergeCell ref="C160:D160"/>
    <mergeCell ref="C161:K161"/>
    <mergeCell ref="C163:D163"/>
    <mergeCell ref="C164:K164"/>
    <mergeCell ref="C166:D166"/>
    <mergeCell ref="C167:D167"/>
    <mergeCell ref="C168:D168"/>
    <mergeCell ref="C169:K169"/>
    <mergeCell ref="C171:D171"/>
    <mergeCell ref="C172:D172"/>
    <mergeCell ref="C173:D173"/>
    <mergeCell ref="C174:K174"/>
    <mergeCell ref="C177:D177"/>
    <mergeCell ref="C179:D179"/>
    <mergeCell ref="C182:D182"/>
    <mergeCell ref="C184:D184"/>
    <mergeCell ref="C185:K185"/>
    <mergeCell ref="C187:D187"/>
    <mergeCell ref="C188:K188"/>
    <mergeCell ref="C190:D190"/>
    <mergeCell ref="C191:D191"/>
    <mergeCell ref="C192:D192"/>
    <mergeCell ref="C193:K193"/>
    <mergeCell ref="C196:D196"/>
    <mergeCell ref="C197:K197"/>
    <mergeCell ref="C199:D199"/>
    <mergeCell ref="C201:D201"/>
    <mergeCell ref="C202:K202"/>
    <mergeCell ref="C204:D204"/>
    <mergeCell ref="C205:K205"/>
    <mergeCell ref="C207:D207"/>
    <mergeCell ref="C208:K208"/>
    <mergeCell ref="C210:D210"/>
    <mergeCell ref="C212:D212"/>
    <mergeCell ref="C213:K213"/>
    <mergeCell ref="C215:D215"/>
    <mergeCell ref="C217:D217"/>
    <mergeCell ref="C219:D219"/>
    <mergeCell ref="C221:D221"/>
    <mergeCell ref="C223:D223"/>
    <mergeCell ref="C225:D225"/>
    <mergeCell ref="C227:D227"/>
    <mergeCell ref="C228:D228"/>
    <mergeCell ref="C229:D229"/>
    <mergeCell ref="C230:K230"/>
    <mergeCell ref="C232:D232"/>
    <mergeCell ref="C233:D233"/>
    <mergeCell ref="C234:D234"/>
    <mergeCell ref="C236:D236"/>
    <mergeCell ref="C239:D239"/>
    <mergeCell ref="C241:D241"/>
    <mergeCell ref="C244:D244"/>
    <mergeCell ref="C245:K245"/>
    <mergeCell ref="C247:D247"/>
    <mergeCell ref="C249:D249"/>
    <mergeCell ref="C251:D251"/>
    <mergeCell ref="C253:D253"/>
    <mergeCell ref="C254:D254"/>
    <mergeCell ref="C255:D255"/>
    <mergeCell ref="C257:D257"/>
    <mergeCell ref="C259:D259"/>
    <mergeCell ref="C260:D260"/>
    <mergeCell ref="C261:D261"/>
    <mergeCell ref="C262:K262"/>
    <mergeCell ref="C264:D264"/>
    <mergeCell ref="C265:D265"/>
    <mergeCell ref="C267:D267"/>
    <mergeCell ref="C268:D268"/>
    <mergeCell ref="C270:D270"/>
    <mergeCell ref="C272:D272"/>
    <mergeCell ref="C274:D274"/>
    <mergeCell ref="C276:D276"/>
    <mergeCell ref="C278:D278"/>
    <mergeCell ref="C280:D280"/>
    <mergeCell ref="C288:D288"/>
    <mergeCell ref="C289:K289"/>
    <mergeCell ref="C291:D291"/>
    <mergeCell ref="C293:D293"/>
    <mergeCell ref="C294:D294"/>
    <mergeCell ref="C296:D296"/>
    <mergeCell ref="C297:D297"/>
    <mergeCell ref="C299:D299"/>
    <mergeCell ref="C300:D300"/>
    <mergeCell ref="C302:D302"/>
    <mergeCell ref="C303:D303"/>
    <mergeCell ref="C305:D305"/>
    <mergeCell ref="C307:D307"/>
    <mergeCell ref="C309:D309"/>
    <mergeCell ref="H311:I311"/>
    <mergeCell ref="A313:K313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7"/>
  <sheetViews>
    <sheetView workbookViewId="0" showZeros="true" showFormulas="false" showGridLines="true" showRowColHeaders="true">
      <selection sqref="A37:I37" activeCell="A37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7.140625" customWidth="true"/>
    <col max="4" min="4" style="0" width="10" customWidth="true"/>
    <col max="5" min="5" style="0" width="14" customWidth="true"/>
    <col max="6" min="6" style="0" width="27.140625" customWidth="true"/>
    <col max="7" min="7" style="0" width="9.140625" customWidth="true"/>
    <col max="8" min="8" style="0" width="12.85546875" customWidth="true"/>
    <col max="9" min="9" style="0" width="27.140625" customWidth="true"/>
  </cols>
  <sheetData>
    <row r="1" customHeight="true" ht="54.75">
      <c r="A1" s="68" t="s">
        <v>581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582</v>
      </c>
      <c r="I2" s="8" t="s">
        <v>47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10</v>
      </c>
      <c r="F4" s="14">
        <f>'Stavební rozpočet'!I4</f>
      </c>
      <c r="G4" s="10"/>
      <c r="H4" s="14" t="s">
        <v>582</v>
      </c>
      <c r="I4" s="12" t="s">
        <v>47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11</v>
      </c>
      <c r="B6" s="10"/>
      <c r="C6" s="14">
        <f>'Stavební rozpočet'!C6</f>
      </c>
      <c r="D6" s="10"/>
      <c r="E6" s="14" t="s">
        <v>14</v>
      </c>
      <c r="F6" s="14">
        <f>'Stavební rozpočet'!I6</f>
      </c>
      <c r="G6" s="10"/>
      <c r="H6" s="14" t="s">
        <v>582</v>
      </c>
      <c r="I6" s="12" t="s">
        <v>47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8</v>
      </c>
      <c r="B8" s="10"/>
      <c r="C8" s="14">
        <f>'Stavební rozpočet'!G4</f>
      </c>
      <c r="D8" s="10"/>
      <c r="E8" s="14" t="s">
        <v>13</v>
      </c>
      <c r="F8" s="14">
        <f>'Stavební rozpočet'!G6</f>
      </c>
      <c r="G8" s="10"/>
      <c r="H8" s="10" t="s">
        <v>583</v>
      </c>
      <c r="I8" s="69" t="n">
        <v>110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15</v>
      </c>
      <c r="B10" s="10"/>
      <c r="C10" s="14">
        <f>'Stavební rozpočet'!C8</f>
      </c>
      <c r="D10" s="10"/>
      <c r="E10" s="14" t="s">
        <v>17</v>
      </c>
      <c r="F10" s="14">
        <f>'Stavební rozpočet'!I8</f>
      </c>
      <c r="G10" s="10"/>
      <c r="H10" s="10" t="s">
        <v>584</v>
      </c>
      <c r="I10" s="70">
        <f>'Stavební rozpočet'!G8</f>
      </c>
    </row>
    <row r="11">
      <c r="A11" s="71"/>
      <c r="B11" s="72"/>
      <c r="C11" s="72"/>
      <c r="D11" s="72"/>
      <c r="E11" s="72"/>
      <c r="F11" s="72"/>
      <c r="G11" s="72"/>
      <c r="H11" s="72"/>
      <c r="I11" s="73"/>
    </row>
    <row r="12">
      <c r="A12" s="74" t="s">
        <v>585</v>
      </c>
      <c r="B12" s="74"/>
      <c r="C12" s="74"/>
      <c r="D12" s="74"/>
      <c r="E12" s="74"/>
      <c r="F12" s="74"/>
      <c r="G12" s="74"/>
      <c r="H12" s="74"/>
      <c r="I12" s="74"/>
    </row>
    <row r="13" customHeight="true" ht="26.25">
      <c r="A13" s="75" t="s">
        <v>586</v>
      </c>
      <c r="B13" s="76" t="s">
        <v>587</v>
      </c>
      <c r="C13" s="77"/>
      <c r="D13" s="78" t="s">
        <v>588</v>
      </c>
      <c r="E13" s="76" t="s">
        <v>589</v>
      </c>
      <c r="F13" s="77"/>
      <c r="G13" s="78" t="s">
        <v>590</v>
      </c>
      <c r="H13" s="76" t="s">
        <v>591</v>
      </c>
      <c r="I13" s="77"/>
    </row>
    <row r="14">
      <c r="A14" s="79" t="s">
        <v>592</v>
      </c>
      <c r="B14" s="80" t="s">
        <v>593</v>
      </c>
      <c r="C14" s="81">
        <f>SUM('Stavební rozpočet'!AB12:AB310)</f>
      </c>
      <c r="D14" s="82" t="s">
        <v>594</v>
      </c>
      <c r="E14" s="83"/>
      <c r="F14" s="81">
        <f>VORN!I15</f>
      </c>
      <c r="G14" s="82" t="s">
        <v>595</v>
      </c>
      <c r="H14" s="83"/>
      <c r="I14" s="84">
        <f>VORN!I21</f>
      </c>
    </row>
    <row r="15">
      <c r="A15" s="85" t="s">
        <v>47</v>
      </c>
      <c r="B15" s="80" t="s">
        <v>32</v>
      </c>
      <c r="C15" s="81">
        <f>SUM('Stavební rozpočet'!AC12:AC310)</f>
      </c>
      <c r="D15" s="82" t="s">
        <v>596</v>
      </c>
      <c r="E15" s="83"/>
      <c r="F15" s="81">
        <f>VORN!I16</f>
      </c>
      <c r="G15" s="82" t="s">
        <v>597</v>
      </c>
      <c r="H15" s="83"/>
      <c r="I15" s="84">
        <f>VORN!I22</f>
      </c>
    </row>
    <row r="16">
      <c r="A16" s="79" t="s">
        <v>598</v>
      </c>
      <c r="B16" s="80" t="s">
        <v>593</v>
      </c>
      <c r="C16" s="81">
        <f>SUM('Stavební rozpočet'!AD12:AD310)</f>
      </c>
      <c r="D16" s="82" t="s">
        <v>599</v>
      </c>
      <c r="E16" s="83"/>
      <c r="F16" s="81">
        <f>VORN!I17</f>
      </c>
      <c r="G16" s="82" t="s">
        <v>600</v>
      </c>
      <c r="H16" s="83"/>
      <c r="I16" s="84">
        <f>VORN!I23</f>
      </c>
    </row>
    <row r="17">
      <c r="A17" s="85" t="s">
        <v>47</v>
      </c>
      <c r="B17" s="80" t="s">
        <v>32</v>
      </c>
      <c r="C17" s="81">
        <f>SUM('Stavební rozpočet'!AE12:AE310)</f>
      </c>
      <c r="D17" s="82" t="s">
        <v>47</v>
      </c>
      <c r="E17" s="83"/>
      <c r="F17" s="84" t="s">
        <v>47</v>
      </c>
      <c r="G17" s="82" t="s">
        <v>601</v>
      </c>
      <c r="H17" s="83"/>
      <c r="I17" s="84">
        <f>VORN!I24</f>
      </c>
    </row>
    <row r="18">
      <c r="A18" s="79" t="s">
        <v>602</v>
      </c>
      <c r="B18" s="80" t="s">
        <v>593</v>
      </c>
      <c r="C18" s="81">
        <f>SUM('Stavební rozpočet'!AF12:AF310)</f>
      </c>
      <c r="D18" s="82" t="s">
        <v>47</v>
      </c>
      <c r="E18" s="83"/>
      <c r="F18" s="84" t="s">
        <v>47</v>
      </c>
      <c r="G18" s="82" t="s">
        <v>603</v>
      </c>
      <c r="H18" s="83"/>
      <c r="I18" s="84">
        <f>VORN!I25</f>
      </c>
    </row>
    <row r="19">
      <c r="A19" s="85" t="s">
        <v>47</v>
      </c>
      <c r="B19" s="80" t="s">
        <v>32</v>
      </c>
      <c r="C19" s="81">
        <f>SUM('Stavební rozpočet'!AG12:AG310)</f>
      </c>
      <c r="D19" s="82" t="s">
        <v>47</v>
      </c>
      <c r="E19" s="83"/>
      <c r="F19" s="84" t="s">
        <v>47</v>
      </c>
      <c r="G19" s="82" t="s">
        <v>604</v>
      </c>
      <c r="H19" s="83"/>
      <c r="I19" s="84">
        <f>VORN!I26</f>
      </c>
    </row>
    <row r="20">
      <c r="A20" s="86" t="s">
        <v>605</v>
      </c>
      <c r="B20" s="87"/>
      <c r="C20" s="81">
        <f>SUM('Stavební rozpočet'!AH12:AH310)</f>
      </c>
      <c r="D20" s="82" t="s">
        <v>47</v>
      </c>
      <c r="E20" s="83"/>
      <c r="F20" s="84" t="s">
        <v>47</v>
      </c>
      <c r="G20" s="82" t="s">
        <v>47</v>
      </c>
      <c r="H20" s="83"/>
      <c r="I20" s="84" t="s">
        <v>47</v>
      </c>
    </row>
    <row r="21">
      <c r="A21" s="88" t="s">
        <v>606</v>
      </c>
      <c r="B21" s="89"/>
      <c r="C21" s="90">
        <f>SUM('Stavební rozpočet'!Z12:Z310)</f>
      </c>
      <c r="D21" s="91" t="s">
        <v>47</v>
      </c>
      <c r="E21" s="92"/>
      <c r="F21" s="93" t="s">
        <v>47</v>
      </c>
      <c r="G21" s="91" t="s">
        <v>47</v>
      </c>
      <c r="H21" s="92"/>
      <c r="I21" s="93" t="s">
        <v>47</v>
      </c>
    </row>
    <row r="22" customHeight="true" ht="16.5">
      <c r="A22" s="94" t="s">
        <v>607</v>
      </c>
      <c r="B22" s="95"/>
      <c r="C22" s="96">
        <f>ROUND(SUM(C14:C21),2)</f>
      </c>
      <c r="D22" s="97" t="s">
        <v>608</v>
      </c>
      <c r="E22" s="95"/>
      <c r="F22" s="96">
        <f>SUM(F14:F21)</f>
      </c>
      <c r="G22" s="97" t="s">
        <v>609</v>
      </c>
      <c r="H22" s="95"/>
      <c r="I22" s="96">
        <f>SUM(I14:I21)</f>
      </c>
    </row>
    <row r="23">
      <c r="D23" s="86" t="s">
        <v>610</v>
      </c>
      <c r="E23" s="87"/>
      <c r="F23" s="98" t="n">
        <v>0</v>
      </c>
      <c r="G23" s="99" t="s">
        <v>611</v>
      </c>
      <c r="H23" s="87"/>
      <c r="I23" s="81" t="n">
        <v>0</v>
      </c>
    </row>
    <row r="24">
      <c r="G24" s="86" t="s">
        <v>612</v>
      </c>
      <c r="H24" s="87"/>
      <c r="I24" s="90">
        <f>vorn_sum</f>
      </c>
    </row>
    <row r="25">
      <c r="G25" s="86" t="s">
        <v>613</v>
      </c>
      <c r="H25" s="87"/>
      <c r="I25" s="96" t="n">
        <v>0</v>
      </c>
    </row>
    <row r="27">
      <c r="A27" s="100" t="s">
        <v>614</v>
      </c>
      <c r="B27" s="101"/>
      <c r="C27" s="102">
        <f>ROUND(SUM('Stavební rozpočet'!AJ12:AJ310),2)</f>
      </c>
    </row>
    <row r="28">
      <c r="A28" s="103" t="s">
        <v>615</v>
      </c>
      <c r="B28" s="104"/>
      <c r="C28" s="105">
        <f>ROUND(SUM('Stavební rozpočet'!AK12:AK310),2)</f>
      </c>
      <c r="D28" s="106" t="s">
        <v>616</v>
      </c>
      <c r="E28" s="101"/>
      <c r="F28" s="102">
        <f>ROUND(C28*(12/100),2)</f>
      </c>
      <c r="G28" s="106" t="s">
        <v>617</v>
      </c>
      <c r="H28" s="101"/>
      <c r="I28" s="102">
        <f>ROUND(SUM(C27:C29),2)</f>
      </c>
    </row>
    <row r="29">
      <c r="A29" s="103" t="s">
        <v>618</v>
      </c>
      <c r="B29" s="104"/>
      <c r="C29" s="105">
        <f>ROUND(SUM('Stavební rozpočet'!AL12:AL310)+(F22+I22+F23+I23+I24+I25),2)</f>
      </c>
      <c r="D29" s="107" t="s">
        <v>619</v>
      </c>
      <c r="E29" s="104"/>
      <c r="F29" s="105">
        <f>ROUND(C29*(21/100),2)</f>
      </c>
      <c r="G29" s="107" t="s">
        <v>620</v>
      </c>
      <c r="H29" s="104"/>
      <c r="I29" s="105">
        <f>ROUND(SUM(F28:F29)+I28,2)</f>
      </c>
    </row>
    <row r="31">
      <c r="A31" s="108" t="s">
        <v>621</v>
      </c>
      <c r="B31" s="109"/>
      <c r="C31" s="110"/>
      <c r="D31" s="111" t="s">
        <v>622</v>
      </c>
      <c r="E31" s="109"/>
      <c r="F31" s="110"/>
      <c r="G31" s="111" t="s">
        <v>623</v>
      </c>
      <c r="H31" s="109"/>
      <c r="I31" s="110"/>
    </row>
    <row r="32">
      <c r="A32" s="112" t="s">
        <v>47</v>
      </c>
      <c r="B32" s="113"/>
      <c r="C32" s="114"/>
      <c r="D32" s="115" t="s">
        <v>47</v>
      </c>
      <c r="E32" s="113"/>
      <c r="F32" s="114"/>
      <c r="G32" s="115" t="s">
        <v>47</v>
      </c>
      <c r="H32" s="113"/>
      <c r="I32" s="114"/>
    </row>
    <row r="33">
      <c r="A33" s="112" t="s">
        <v>47</v>
      </c>
      <c r="B33" s="113"/>
      <c r="C33" s="114"/>
      <c r="D33" s="115" t="s">
        <v>47</v>
      </c>
      <c r="E33" s="113"/>
      <c r="F33" s="114"/>
      <c r="G33" s="115" t="s">
        <v>47</v>
      </c>
      <c r="H33" s="113"/>
      <c r="I33" s="114"/>
    </row>
    <row r="34">
      <c r="A34" s="112" t="s">
        <v>47</v>
      </c>
      <c r="B34" s="113"/>
      <c r="C34" s="114"/>
      <c r="D34" s="115" t="s">
        <v>47</v>
      </c>
      <c r="E34" s="113"/>
      <c r="F34" s="114"/>
      <c r="G34" s="115" t="s">
        <v>47</v>
      </c>
      <c r="H34" s="113"/>
      <c r="I34" s="114"/>
    </row>
    <row r="35">
      <c r="A35" s="116" t="s">
        <v>624</v>
      </c>
      <c r="B35" s="117"/>
      <c r="C35" s="118"/>
      <c r="D35" s="119" t="s">
        <v>624</v>
      </c>
      <c r="E35" s="117"/>
      <c r="F35" s="118"/>
      <c r="G35" s="119" t="s">
        <v>624</v>
      </c>
      <c r="H35" s="117"/>
      <c r="I35" s="118"/>
    </row>
    <row r="36">
      <c r="A36" s="120" t="s">
        <v>580</v>
      </c>
    </row>
    <row r="37" customHeight="true" ht="12.75">
      <c r="A37" s="14" t="s">
        <v>47</v>
      </c>
      <c r="B37" s="10"/>
      <c r="C37" s="10"/>
      <c r="D37" s="10"/>
      <c r="E37" s="10"/>
      <c r="F37" s="10"/>
      <c r="G37" s="10"/>
      <c r="H37" s="10"/>
      <c r="I37" s="10"/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I2:I3"/>
    <mergeCell ref="I4:I5"/>
    <mergeCell ref="I6:I7"/>
    <mergeCell ref="I8:I9"/>
    <mergeCell ref="I10:I11"/>
    <mergeCell ref="A12:I12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  <mergeCell ref="A37:I37"/>
  </mergeCells>
  <pageMargins left="0.393999993801117" top="0.591000020503998" right="0.393999993801117" bottom="0.591000020503998" header="0" footer="0"/>
  <pageSetup orientation="landscape" fitToHeight="1" fitToWidth="1" cellComments="none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true"/>
  </sheetPr>
  <dimension ref="A1:I36"/>
  <sheetViews>
    <sheetView workbookViewId="0" showZeros="true" showFormulas="false" showGridLines="true" showRowColHeaders="true">
      <selection sqref="A36:E36" activeCell="A36"/>
    </sheetView>
  </sheetViews>
  <sheetFormatPr defaultColWidth="12.140625" customHeight="true" defaultRowHeight="15"/>
  <cols>
    <col max="1" min="1" style="0" width="9.140625" customWidth="true"/>
    <col max="2" min="2" style="0" width="12.85546875" customWidth="true"/>
    <col max="3" min="3" style="0" width="22.85546875" customWidth="true"/>
    <col max="4" min="4" style="0" width="10" customWidth="true"/>
    <col max="5" min="5" style="0" width="14" customWidth="true"/>
    <col max="6" min="6" style="0" width="22.85546875" customWidth="true"/>
    <col max="7" min="7" style="0" width="9.140625" customWidth="true"/>
    <col max="8" min="8" style="0" width="17.140625" customWidth="true"/>
    <col max="9" min="9" style="0" width="22.85546875" customWidth="true"/>
  </cols>
  <sheetData>
    <row r="1" customHeight="true" ht="54.75">
      <c r="A1" s="68" t="s">
        <v>625</v>
      </c>
      <c r="B1" s="1"/>
      <c r="C1" s="1"/>
      <c r="D1" s="1"/>
      <c r="E1" s="1"/>
      <c r="F1" s="1"/>
      <c r="G1" s="1"/>
      <c r="H1" s="1"/>
      <c r="I1" s="1"/>
    </row>
    <row r="2">
      <c r="A2" s="3" t="s">
        <v>1</v>
      </c>
      <c r="B2" s="4"/>
      <c r="C2" s="5">
        <f>'Stavební rozpočet'!C2</f>
      </c>
      <c r="D2" s="6"/>
      <c r="E2" s="7" t="s">
        <v>5</v>
      </c>
      <c r="F2" s="7">
        <f>'Stavební rozpočet'!I2</f>
      </c>
      <c r="G2" s="4"/>
      <c r="H2" s="7" t="s">
        <v>582</v>
      </c>
      <c r="I2" s="8" t="s">
        <v>47</v>
      </c>
    </row>
    <row r="3" customHeight="true" ht="15">
      <c r="A3" s="9"/>
      <c r="B3" s="10"/>
      <c r="C3" s="11"/>
      <c r="D3" s="11"/>
      <c r="E3" s="10"/>
      <c r="F3" s="10"/>
      <c r="G3" s="10"/>
      <c r="H3" s="10"/>
      <c r="I3" s="12"/>
    </row>
    <row r="4">
      <c r="A4" s="13" t="s">
        <v>7</v>
      </c>
      <c r="B4" s="10"/>
      <c r="C4" s="14">
        <f>'Stavební rozpočet'!C4</f>
      </c>
      <c r="D4" s="10"/>
      <c r="E4" s="14" t="s">
        <v>10</v>
      </c>
      <c r="F4" s="14">
        <f>'Stavební rozpočet'!I4</f>
      </c>
      <c r="G4" s="10"/>
      <c r="H4" s="14" t="s">
        <v>582</v>
      </c>
      <c r="I4" s="12" t="s">
        <v>47</v>
      </c>
    </row>
    <row r="5" customHeight="true" ht="15">
      <c r="A5" s="9"/>
      <c r="B5" s="10"/>
      <c r="C5" s="10"/>
      <c r="D5" s="10"/>
      <c r="E5" s="10"/>
      <c r="F5" s="10"/>
      <c r="G5" s="10"/>
      <c r="H5" s="10"/>
      <c r="I5" s="12"/>
    </row>
    <row r="6">
      <c r="A6" s="13" t="s">
        <v>11</v>
      </c>
      <c r="B6" s="10"/>
      <c r="C6" s="14">
        <f>'Stavební rozpočet'!C6</f>
      </c>
      <c r="D6" s="10"/>
      <c r="E6" s="14" t="s">
        <v>14</v>
      </c>
      <c r="F6" s="14">
        <f>'Stavební rozpočet'!I6</f>
      </c>
      <c r="G6" s="10"/>
      <c r="H6" s="14" t="s">
        <v>582</v>
      </c>
      <c r="I6" s="12" t="s">
        <v>47</v>
      </c>
    </row>
    <row r="7" customHeight="true" ht="15">
      <c r="A7" s="9"/>
      <c r="B7" s="10"/>
      <c r="C7" s="10"/>
      <c r="D7" s="10"/>
      <c r="E7" s="10"/>
      <c r="F7" s="10"/>
      <c r="G7" s="10"/>
      <c r="H7" s="10"/>
      <c r="I7" s="12"/>
    </row>
    <row r="8">
      <c r="A8" s="13" t="s">
        <v>8</v>
      </c>
      <c r="B8" s="10"/>
      <c r="C8" s="14">
        <f>'Stavební rozpočet'!G4</f>
      </c>
      <c r="D8" s="10"/>
      <c r="E8" s="14" t="s">
        <v>13</v>
      </c>
      <c r="F8" s="14">
        <f>'Stavební rozpočet'!G6</f>
      </c>
      <c r="G8" s="10"/>
      <c r="H8" s="10" t="s">
        <v>583</v>
      </c>
      <c r="I8" s="69" t="n">
        <v>110</v>
      </c>
    </row>
    <row r="9">
      <c r="A9" s="9"/>
      <c r="B9" s="10"/>
      <c r="C9" s="10"/>
      <c r="D9" s="10"/>
      <c r="E9" s="10"/>
      <c r="F9" s="10"/>
      <c r="G9" s="10"/>
      <c r="H9" s="10"/>
      <c r="I9" s="12"/>
    </row>
    <row r="10">
      <c r="A10" s="13" t="s">
        <v>15</v>
      </c>
      <c r="B10" s="10"/>
      <c r="C10" s="14">
        <f>'Stavební rozpočet'!C8</f>
      </c>
      <c r="D10" s="10"/>
      <c r="E10" s="14" t="s">
        <v>17</v>
      </c>
      <c r="F10" s="14">
        <f>'Stavební rozpočet'!I8</f>
      </c>
      <c r="G10" s="10"/>
      <c r="H10" s="10" t="s">
        <v>584</v>
      </c>
      <c r="I10" s="70">
        <f>'Stavební rozpočet'!G8</f>
      </c>
    </row>
    <row r="11">
      <c r="A11" s="71"/>
      <c r="B11" s="72"/>
      <c r="C11" s="72"/>
      <c r="D11" s="72"/>
      <c r="E11" s="72"/>
      <c r="F11" s="72"/>
      <c r="G11" s="72"/>
      <c r="H11" s="72"/>
      <c r="I11" s="73"/>
    </row>
    <row r="13">
      <c r="A13" s="121" t="s">
        <v>626</v>
      </c>
      <c r="B13" s="121"/>
      <c r="C13" s="121"/>
      <c r="D13" s="121"/>
      <c r="E13" s="121"/>
    </row>
    <row r="14">
      <c r="A14" s="122" t="s">
        <v>627</v>
      </c>
      <c r="B14" s="123"/>
      <c r="C14" s="123"/>
      <c r="D14" s="123"/>
      <c r="E14" s="124"/>
      <c r="F14" s="125" t="s">
        <v>628</v>
      </c>
      <c r="G14" s="125" t="s">
        <v>629</v>
      </c>
      <c r="H14" s="125" t="s">
        <v>630</v>
      </c>
      <c r="I14" s="125" t="s">
        <v>628</v>
      </c>
    </row>
    <row r="15">
      <c r="A15" s="126" t="s">
        <v>594</v>
      </c>
      <c r="B15" s="127"/>
      <c r="C15" s="127"/>
      <c r="D15" s="127"/>
      <c r="E15" s="128"/>
      <c r="F15" s="129" t="n">
        <v>0</v>
      </c>
      <c r="G15" s="130" t="s">
        <v>47</v>
      </c>
      <c r="H15" s="130" t="s">
        <v>47</v>
      </c>
      <c r="I15" s="129">
        <f>F15</f>
      </c>
    </row>
    <row r="16">
      <c r="A16" s="126" t="s">
        <v>596</v>
      </c>
      <c r="B16" s="127"/>
      <c r="C16" s="127"/>
      <c r="D16" s="127"/>
      <c r="E16" s="128"/>
      <c r="F16" s="129" t="n">
        <v>0</v>
      </c>
      <c r="G16" s="130" t="s">
        <v>47</v>
      </c>
      <c r="H16" s="130" t="s">
        <v>47</v>
      </c>
      <c r="I16" s="129">
        <f>F16</f>
      </c>
    </row>
    <row r="17">
      <c r="A17" s="131" t="s">
        <v>599</v>
      </c>
      <c r="B17" s="132"/>
      <c r="C17" s="132"/>
      <c r="D17" s="132"/>
      <c r="E17" s="133"/>
      <c r="F17" s="134" t="n">
        <v>0</v>
      </c>
      <c r="G17" s="135" t="s">
        <v>47</v>
      </c>
      <c r="H17" s="135" t="s">
        <v>47</v>
      </c>
      <c r="I17" s="134">
        <f>F17</f>
      </c>
    </row>
    <row r="18">
      <c r="A18" s="136" t="s">
        <v>631</v>
      </c>
      <c r="B18" s="137"/>
      <c r="C18" s="137"/>
      <c r="D18" s="137"/>
      <c r="E18" s="138"/>
      <c r="F18" s="139" t="s">
        <v>47</v>
      </c>
      <c r="G18" s="140" t="s">
        <v>47</v>
      </c>
      <c r="H18" s="140" t="s">
        <v>47</v>
      </c>
      <c r="I18" s="141">
        <f>SUM(I15:I17)</f>
      </c>
    </row>
    <row r="20">
      <c r="A20" s="122" t="s">
        <v>591</v>
      </c>
      <c r="B20" s="123"/>
      <c r="C20" s="123"/>
      <c r="D20" s="123"/>
      <c r="E20" s="124"/>
      <c r="F20" s="125" t="s">
        <v>628</v>
      </c>
      <c r="G20" s="125" t="s">
        <v>629</v>
      </c>
      <c r="H20" s="125" t="s">
        <v>630</v>
      </c>
      <c r="I20" s="125" t="s">
        <v>628</v>
      </c>
    </row>
    <row r="21">
      <c r="A21" s="126" t="s">
        <v>595</v>
      </c>
      <c r="B21" s="127"/>
      <c r="C21" s="127"/>
      <c r="D21" s="127"/>
      <c r="E21" s="128"/>
      <c r="F21" s="129" t="n">
        <v>0</v>
      </c>
      <c r="G21" s="130" t="s">
        <v>47</v>
      </c>
      <c r="H21" s="130" t="s">
        <v>47</v>
      </c>
      <c r="I21" s="129">
        <f>F21</f>
      </c>
    </row>
    <row r="22">
      <c r="A22" s="126" t="s">
        <v>597</v>
      </c>
      <c r="B22" s="127"/>
      <c r="C22" s="127"/>
      <c r="D22" s="127"/>
      <c r="E22" s="128"/>
      <c r="F22" s="129" t="n">
        <v>0</v>
      </c>
      <c r="G22" s="130" t="s">
        <v>47</v>
      </c>
      <c r="H22" s="130" t="s">
        <v>47</v>
      </c>
      <c r="I22" s="129">
        <f>F22</f>
      </c>
    </row>
    <row r="23">
      <c r="A23" s="126" t="s">
        <v>600</v>
      </c>
      <c r="B23" s="127"/>
      <c r="C23" s="127"/>
      <c r="D23" s="127"/>
      <c r="E23" s="128"/>
      <c r="F23" s="129" t="n">
        <v>0</v>
      </c>
      <c r="G23" s="130" t="s">
        <v>47</v>
      </c>
      <c r="H23" s="130" t="s">
        <v>47</v>
      </c>
      <c r="I23" s="129">
        <f>F23</f>
      </c>
    </row>
    <row r="24">
      <c r="A24" s="126" t="s">
        <v>601</v>
      </c>
      <c r="B24" s="127"/>
      <c r="C24" s="127"/>
      <c r="D24" s="127"/>
      <c r="E24" s="128"/>
      <c r="F24" s="129" t="n">
        <v>0</v>
      </c>
      <c r="G24" s="130" t="s">
        <v>47</v>
      </c>
      <c r="H24" s="130" t="s">
        <v>47</v>
      </c>
      <c r="I24" s="129">
        <f>F24</f>
      </c>
    </row>
    <row r="25">
      <c r="A25" s="126" t="s">
        <v>603</v>
      </c>
      <c r="B25" s="127"/>
      <c r="C25" s="127"/>
      <c r="D25" s="127"/>
      <c r="E25" s="128"/>
      <c r="F25" s="129" t="n">
        <v>0</v>
      </c>
      <c r="G25" s="130" t="s">
        <v>47</v>
      </c>
      <c r="H25" s="130" t="s">
        <v>47</v>
      </c>
      <c r="I25" s="129">
        <f>F25</f>
      </c>
    </row>
    <row r="26">
      <c r="A26" s="131" t="s">
        <v>604</v>
      </c>
      <c r="B26" s="132"/>
      <c r="C26" s="132"/>
      <c r="D26" s="132"/>
      <c r="E26" s="133"/>
      <c r="F26" s="134" t="n">
        <v>0</v>
      </c>
      <c r="G26" s="135" t="s">
        <v>47</v>
      </c>
      <c r="H26" s="135" t="s">
        <v>47</v>
      </c>
      <c r="I26" s="134">
        <f>F26</f>
      </c>
    </row>
    <row r="27">
      <c r="A27" s="136" t="s">
        <v>632</v>
      </c>
      <c r="B27" s="137"/>
      <c r="C27" s="137"/>
      <c r="D27" s="137"/>
      <c r="E27" s="138"/>
      <c r="F27" s="139" t="s">
        <v>47</v>
      </c>
      <c r="G27" s="140" t="s">
        <v>47</v>
      </c>
      <c r="H27" s="140" t="s">
        <v>47</v>
      </c>
      <c r="I27" s="141">
        <f>SUM(I21:I26)</f>
      </c>
    </row>
    <row r="29">
      <c r="A29" s="142" t="s">
        <v>633</v>
      </c>
      <c r="B29" s="143"/>
      <c r="C29" s="143"/>
      <c r="D29" s="143"/>
      <c r="E29" s="144"/>
      <c r="F29" s="145">
        <f>I18+I27</f>
      </c>
      <c r="G29" s="146"/>
      <c r="H29" s="146"/>
      <c r="I29" s="147"/>
    </row>
    <row r="33">
      <c r="A33" s="121" t="s">
        <v>634</v>
      </c>
      <c r="B33" s="121"/>
      <c r="C33" s="121"/>
      <c r="D33" s="121"/>
      <c r="E33" s="121"/>
    </row>
    <row r="34">
      <c r="A34" s="122" t="s">
        <v>635</v>
      </c>
      <c r="B34" s="123"/>
      <c r="C34" s="123"/>
      <c r="D34" s="123"/>
      <c r="E34" s="124"/>
      <c r="F34" s="125" t="s">
        <v>628</v>
      </c>
      <c r="G34" s="125" t="s">
        <v>629</v>
      </c>
      <c r="H34" s="125" t="s">
        <v>630</v>
      </c>
      <c r="I34" s="125" t="s">
        <v>628</v>
      </c>
    </row>
    <row r="35">
      <c r="A35" s="131" t="s">
        <v>47</v>
      </c>
      <c r="B35" s="132"/>
      <c r="C35" s="132"/>
      <c r="D35" s="132"/>
      <c r="E35" s="133"/>
      <c r="F35" s="134" t="n">
        <v>0</v>
      </c>
      <c r="G35" s="135" t="s">
        <v>47</v>
      </c>
      <c r="H35" s="135" t="s">
        <v>47</v>
      </c>
      <c r="I35" s="134">
        <f>F35</f>
      </c>
    </row>
    <row r="36">
      <c r="A36" s="136" t="s">
        <v>636</v>
      </c>
      <c r="B36" s="137"/>
      <c r="C36" s="137"/>
      <c r="D36" s="137"/>
      <c r="E36" s="138"/>
      <c r="F36" s="139" t="s">
        <v>47</v>
      </c>
      <c r="G36" s="140" t="s">
        <v>47</v>
      </c>
      <c r="H36" s="140" t="s">
        <v>47</v>
      </c>
      <c r="I36" s="141">
        <f>SUM(I35:I35)</f>
      </c>
    </row>
  </sheetData>
  <mergeCells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I2:I3"/>
    <mergeCell ref="I4:I5"/>
    <mergeCell ref="I6:I7"/>
    <mergeCell ref="I8:I9"/>
    <mergeCell ref="I10:I11"/>
    <mergeCell ref="A13:E13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</mergeCells>
  <pageMargins left="0.393999993801117" top="0.591000020503998" right="0.393999993801117" bottom="0.591000020503998" header="0" footer="0"/>
  <pageSetup orientation="landscape" fitToHeight="0" fitToWidth="1" cellComments="none"/>
  <drawing r:id="rId1"/>
</worksheet>
</file>

<file path=docProps/core.xml><?xml version="1.0" encoding="utf-8"?>
<cp:coreProperties xmlns:xsi="http://www.w3.org/2001/XMLSchema-instance" xmlns:dcmitype="http://purl.org/dc/dcmitype/" xmlns:dcterms="http://purl.org/dc/terms/" xmlns:dc="http://purl.org/dc/elements/1.1/" xmlns:cp="http://schemas.openxmlformats.org/package/2006/metadata/core-properties">
  <dc:creator>HP</dc:creator>
  <cp:lastModifiedBy>HP</cp:lastModifiedBy>
  <dcterms:created xsi:type="dcterms:W3CDTF">2021-06-10T20:06:38.031Z</dcterms:created>
  <dcterms:modified xsi:type="dcterms:W3CDTF">2021-06-10T20:06:38.351Z</dcterms:modified>
</cp:coreProperties>
</file>