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3c2504fc0bd79ba/Dokumenty/moje/MOJE/garáž Přibyslav/"/>
    </mc:Choice>
  </mc:AlternateContent>
  <xr:revisionPtr revIDLastSave="3" documentId="11_1553EB217BBF3A9669E60A934429811F094F9BAC" xr6:coauthVersionLast="47" xr6:coauthVersionMax="47" xr10:uidLastSave="{DAF17D58-CA09-4694-BC70-4F4CCBF5E9DA}"/>
  <bookViews>
    <workbookView xWindow="-108" yWindow="-108" windowWidth="23256" windowHeight="12456" xr2:uid="{00000000-000D-0000-FFFF-FFFF00000000}"/>
  </bookViews>
  <sheets>
    <sheet name="Krycí list rozpočtu" sheetId="1" r:id="rId1"/>
    <sheet name="VORN" sheetId="2" state="hidden" r:id="rId2"/>
    <sheet name="Stavební rozpočet" sheetId="3" r:id="rId3"/>
  </sheets>
  <definedNames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375" i="3" l="1"/>
  <c r="BJ375" i="3"/>
  <c r="BF375" i="3"/>
  <c r="BD375" i="3"/>
  <c r="AP375" i="3"/>
  <c r="BI375" i="3" s="1"/>
  <c r="AO375" i="3"/>
  <c r="BH375" i="3" s="1"/>
  <c r="AK375" i="3"/>
  <c r="AT374" i="3" s="1"/>
  <c r="AJ375" i="3"/>
  <c r="AS374" i="3" s="1"/>
  <c r="AH375" i="3"/>
  <c r="AG375" i="3"/>
  <c r="AF375" i="3"/>
  <c r="AE375" i="3"/>
  <c r="AD375" i="3"/>
  <c r="AC375" i="3"/>
  <c r="AB375" i="3"/>
  <c r="Z375" i="3"/>
  <c r="J375" i="3"/>
  <c r="AL375" i="3" s="1"/>
  <c r="AU374" i="3" s="1"/>
  <c r="I375" i="3"/>
  <c r="J374" i="3"/>
  <c r="I374" i="3"/>
  <c r="BP372" i="3"/>
  <c r="BJ372" i="3"/>
  <c r="BI372" i="3"/>
  <c r="BH372" i="3"/>
  <c r="BF372" i="3"/>
  <c r="BD372" i="3"/>
  <c r="AP372" i="3"/>
  <c r="AX372" i="3" s="1"/>
  <c r="AO372" i="3"/>
  <c r="AW372" i="3" s="1"/>
  <c r="AV372" i="3" s="1"/>
  <c r="AK372" i="3"/>
  <c r="AT371" i="3" s="1"/>
  <c r="AJ372" i="3"/>
  <c r="AS371" i="3" s="1"/>
  <c r="AH372" i="3"/>
  <c r="AG372" i="3"/>
  <c r="AF372" i="3"/>
  <c r="AE372" i="3"/>
  <c r="AD372" i="3"/>
  <c r="AC372" i="3"/>
  <c r="AB372" i="3"/>
  <c r="Z372" i="3"/>
  <c r="J372" i="3"/>
  <c r="AL372" i="3" s="1"/>
  <c r="AU371" i="3" s="1"/>
  <c r="I372" i="3"/>
  <c r="J371" i="3"/>
  <c r="J360" i="3" s="1"/>
  <c r="I371" i="3"/>
  <c r="BO369" i="3"/>
  <c r="BJ369" i="3"/>
  <c r="BI369" i="3"/>
  <c r="BH369" i="3"/>
  <c r="BF369" i="3"/>
  <c r="BD369" i="3"/>
  <c r="AP369" i="3"/>
  <c r="AX369" i="3" s="1"/>
  <c r="BC369" i="3" s="1"/>
  <c r="AO369" i="3"/>
  <c r="AW369" i="3" s="1"/>
  <c r="AK369" i="3"/>
  <c r="AJ369" i="3"/>
  <c r="AH369" i="3"/>
  <c r="AG369" i="3"/>
  <c r="AF369" i="3"/>
  <c r="AE369" i="3"/>
  <c r="AD369" i="3"/>
  <c r="AC369" i="3"/>
  <c r="AB369" i="3"/>
  <c r="Z369" i="3"/>
  <c r="J369" i="3"/>
  <c r="AL369" i="3" s="1"/>
  <c r="I369" i="3"/>
  <c r="BO367" i="3"/>
  <c r="BJ367" i="3"/>
  <c r="BF367" i="3"/>
  <c r="BD367" i="3"/>
  <c r="AP367" i="3"/>
  <c r="AO367" i="3"/>
  <c r="AL367" i="3"/>
  <c r="AK367" i="3"/>
  <c r="AJ367" i="3"/>
  <c r="AH367" i="3"/>
  <c r="AG367" i="3"/>
  <c r="AF367" i="3"/>
  <c r="AE367" i="3"/>
  <c r="AD367" i="3"/>
  <c r="AC367" i="3"/>
  <c r="AB367" i="3"/>
  <c r="Z367" i="3"/>
  <c r="J367" i="3"/>
  <c r="J364" i="3" s="1"/>
  <c r="BO365" i="3"/>
  <c r="BJ365" i="3"/>
  <c r="BI365" i="3"/>
  <c r="BF365" i="3"/>
  <c r="BD365" i="3"/>
  <c r="AP365" i="3"/>
  <c r="AX365" i="3" s="1"/>
  <c r="AO365" i="3"/>
  <c r="AL365" i="3"/>
  <c r="AK365" i="3"/>
  <c r="AJ365" i="3"/>
  <c r="AH365" i="3"/>
  <c r="AG365" i="3"/>
  <c r="AF365" i="3"/>
  <c r="AE365" i="3"/>
  <c r="AD365" i="3"/>
  <c r="AC365" i="3"/>
  <c r="AB365" i="3"/>
  <c r="Z365" i="3"/>
  <c r="J365" i="3"/>
  <c r="I365" i="3"/>
  <c r="AT364" i="3"/>
  <c r="AS364" i="3"/>
  <c r="BM362" i="3"/>
  <c r="BJ362" i="3"/>
  <c r="BI362" i="3"/>
  <c r="BF362" i="3"/>
  <c r="BD362" i="3"/>
  <c r="AP362" i="3"/>
  <c r="AX362" i="3" s="1"/>
  <c r="AO362" i="3"/>
  <c r="BH362" i="3" s="1"/>
  <c r="AL362" i="3"/>
  <c r="AU361" i="3" s="1"/>
  <c r="AK362" i="3"/>
  <c r="AJ362" i="3"/>
  <c r="AH362" i="3"/>
  <c r="AG362" i="3"/>
  <c r="AF362" i="3"/>
  <c r="AE362" i="3"/>
  <c r="AD362" i="3"/>
  <c r="AC362" i="3"/>
  <c r="AB362" i="3"/>
  <c r="Z362" i="3"/>
  <c r="J362" i="3"/>
  <c r="I362" i="3"/>
  <c r="I361" i="3" s="1"/>
  <c r="AT361" i="3"/>
  <c r="AS361" i="3"/>
  <c r="J361" i="3"/>
  <c r="BJ358" i="3"/>
  <c r="BF358" i="3"/>
  <c r="BD358" i="3"/>
  <c r="AX358" i="3"/>
  <c r="AP358" i="3"/>
  <c r="AO358" i="3"/>
  <c r="AK358" i="3"/>
  <c r="AJ358" i="3"/>
  <c r="AH358" i="3"/>
  <c r="AG358" i="3"/>
  <c r="AF358" i="3"/>
  <c r="AE358" i="3"/>
  <c r="AD358" i="3"/>
  <c r="AC358" i="3"/>
  <c r="AB358" i="3"/>
  <c r="Z358" i="3"/>
  <c r="J358" i="3"/>
  <c r="AL358" i="3" s="1"/>
  <c r="BJ356" i="3"/>
  <c r="BI356" i="3"/>
  <c r="BF356" i="3"/>
  <c r="BD356" i="3"/>
  <c r="AX356" i="3"/>
  <c r="AP356" i="3"/>
  <c r="I356" i="3" s="1"/>
  <c r="AO356" i="3"/>
  <c r="AK356" i="3"/>
  <c r="AJ356" i="3"/>
  <c r="AS351" i="3" s="1"/>
  <c r="AH356" i="3"/>
  <c r="AG356" i="3"/>
  <c r="AF356" i="3"/>
  <c r="AE356" i="3"/>
  <c r="AD356" i="3"/>
  <c r="AC356" i="3"/>
  <c r="AB356" i="3"/>
  <c r="Z356" i="3"/>
  <c r="J356" i="3"/>
  <c r="AL356" i="3" s="1"/>
  <c r="BJ354" i="3"/>
  <c r="BI354" i="3"/>
  <c r="BF354" i="3"/>
  <c r="BD354" i="3"/>
  <c r="AX354" i="3"/>
  <c r="AP354" i="3"/>
  <c r="AO354" i="3"/>
  <c r="BH354" i="3" s="1"/>
  <c r="AL354" i="3"/>
  <c r="AK354" i="3"/>
  <c r="AJ354" i="3"/>
  <c r="AH354" i="3"/>
  <c r="AG354" i="3"/>
  <c r="AF354" i="3"/>
  <c r="AE354" i="3"/>
  <c r="AD354" i="3"/>
  <c r="AC354" i="3"/>
  <c r="AB354" i="3"/>
  <c r="Z354" i="3"/>
  <c r="J354" i="3"/>
  <c r="I354" i="3"/>
  <c r="H354" i="3"/>
  <c r="BJ352" i="3"/>
  <c r="BI352" i="3"/>
  <c r="BH352" i="3"/>
  <c r="BF352" i="3"/>
  <c r="BD352" i="3"/>
  <c r="AP352" i="3"/>
  <c r="AX352" i="3" s="1"/>
  <c r="AO352" i="3"/>
  <c r="AL352" i="3"/>
  <c r="AK352" i="3"/>
  <c r="AJ352" i="3"/>
  <c r="AH352" i="3"/>
  <c r="AG352" i="3"/>
  <c r="AF352" i="3"/>
  <c r="AE352" i="3"/>
  <c r="AD352" i="3"/>
  <c r="AC352" i="3"/>
  <c r="AB352" i="3"/>
  <c r="Z352" i="3"/>
  <c r="J352" i="3"/>
  <c r="AT351" i="3"/>
  <c r="BJ349" i="3"/>
  <c r="BH349" i="3"/>
  <c r="BF349" i="3"/>
  <c r="BD349" i="3"/>
  <c r="AP349" i="3"/>
  <c r="AO349" i="3"/>
  <c r="AW349" i="3" s="1"/>
  <c r="AL349" i="3"/>
  <c r="AK349" i="3"/>
  <c r="AJ349" i="3"/>
  <c r="AH349" i="3"/>
  <c r="AF349" i="3"/>
  <c r="AE349" i="3"/>
  <c r="AD349" i="3"/>
  <c r="AC349" i="3"/>
  <c r="AB349" i="3"/>
  <c r="Z349" i="3"/>
  <c r="J349" i="3"/>
  <c r="BJ347" i="3"/>
  <c r="BF347" i="3"/>
  <c r="BD347" i="3"/>
  <c r="AX347" i="3"/>
  <c r="AW347" i="3"/>
  <c r="AV347" i="3" s="1"/>
  <c r="AP347" i="3"/>
  <c r="BI347" i="3" s="1"/>
  <c r="AG347" i="3" s="1"/>
  <c r="AO347" i="3"/>
  <c r="H347" i="3" s="1"/>
  <c r="AL347" i="3"/>
  <c r="AU346" i="3" s="1"/>
  <c r="AK347" i="3"/>
  <c r="AT346" i="3" s="1"/>
  <c r="AJ347" i="3"/>
  <c r="AH347" i="3"/>
  <c r="AE347" i="3"/>
  <c r="AD347" i="3"/>
  <c r="AC347" i="3"/>
  <c r="AB347" i="3"/>
  <c r="Z347" i="3"/>
  <c r="J347" i="3"/>
  <c r="J346" i="3" s="1"/>
  <c r="I347" i="3"/>
  <c r="AS346" i="3"/>
  <c r="BJ344" i="3"/>
  <c r="BI344" i="3"/>
  <c r="BF344" i="3"/>
  <c r="BD344" i="3"/>
  <c r="AX344" i="3"/>
  <c r="AW344" i="3"/>
  <c r="BC344" i="3" s="1"/>
  <c r="AV344" i="3"/>
  <c r="AP344" i="3"/>
  <c r="AO344" i="3"/>
  <c r="BH344" i="3" s="1"/>
  <c r="AK344" i="3"/>
  <c r="AJ344" i="3"/>
  <c r="AS343" i="3" s="1"/>
  <c r="AH344" i="3"/>
  <c r="AG344" i="3"/>
  <c r="AF344" i="3"/>
  <c r="AE344" i="3"/>
  <c r="AD344" i="3"/>
  <c r="AC344" i="3"/>
  <c r="AB344" i="3"/>
  <c r="Z344" i="3"/>
  <c r="J344" i="3"/>
  <c r="I344" i="3"/>
  <c r="I343" i="3" s="1"/>
  <c r="H344" i="3"/>
  <c r="H343" i="3" s="1"/>
  <c r="AT343" i="3"/>
  <c r="BJ341" i="3"/>
  <c r="BH341" i="3"/>
  <c r="BF341" i="3"/>
  <c r="BD341" i="3"/>
  <c r="AW341" i="3"/>
  <c r="AP341" i="3"/>
  <c r="AO341" i="3"/>
  <c r="AL341" i="3"/>
  <c r="AU340" i="3" s="1"/>
  <c r="AK341" i="3"/>
  <c r="AT340" i="3" s="1"/>
  <c r="AJ341" i="3"/>
  <c r="AS340" i="3" s="1"/>
  <c r="AH341" i="3"/>
  <c r="AG341" i="3"/>
  <c r="AF341" i="3"/>
  <c r="AE341" i="3"/>
  <c r="AD341" i="3"/>
  <c r="AC341" i="3"/>
  <c r="AB341" i="3"/>
  <c r="Z341" i="3"/>
  <c r="J341" i="3"/>
  <c r="H341" i="3"/>
  <c r="J340" i="3"/>
  <c r="H340" i="3"/>
  <c r="BJ338" i="3"/>
  <c r="BF338" i="3"/>
  <c r="BD338" i="3"/>
  <c r="AP338" i="3"/>
  <c r="AO338" i="3"/>
  <c r="AK338" i="3"/>
  <c r="AJ338" i="3"/>
  <c r="AS337" i="3" s="1"/>
  <c r="AH338" i="3"/>
  <c r="AG338" i="3"/>
  <c r="AF338" i="3"/>
  <c r="AE338" i="3"/>
  <c r="AD338" i="3"/>
  <c r="Z338" i="3"/>
  <c r="J338" i="3"/>
  <c r="AL338" i="3" s="1"/>
  <c r="H338" i="3"/>
  <c r="H337" i="3" s="1"/>
  <c r="AU337" i="3"/>
  <c r="AT337" i="3"/>
  <c r="J337" i="3"/>
  <c r="BJ335" i="3"/>
  <c r="BF335" i="3"/>
  <c r="BD335" i="3"/>
  <c r="AP335" i="3"/>
  <c r="BI335" i="3" s="1"/>
  <c r="AC335" i="3" s="1"/>
  <c r="AO335" i="3"/>
  <c r="AL335" i="3"/>
  <c r="AK335" i="3"/>
  <c r="AJ335" i="3"/>
  <c r="AH335" i="3"/>
  <c r="AG335" i="3"/>
  <c r="AF335" i="3"/>
  <c r="AE335" i="3"/>
  <c r="AD335" i="3"/>
  <c r="Z335" i="3"/>
  <c r="J335" i="3"/>
  <c r="BJ332" i="3"/>
  <c r="BI332" i="3"/>
  <c r="AC332" i="3" s="1"/>
  <c r="BH332" i="3"/>
  <c r="AB332" i="3" s="1"/>
  <c r="BF332" i="3"/>
  <c r="BD332" i="3"/>
  <c r="BC332" i="3"/>
  <c r="AX332" i="3"/>
  <c r="AW332" i="3"/>
  <c r="AP332" i="3"/>
  <c r="AO332" i="3"/>
  <c r="AK332" i="3"/>
  <c r="AJ332" i="3"/>
  <c r="AH332" i="3"/>
  <c r="AG332" i="3"/>
  <c r="AF332" i="3"/>
  <c r="AE332" i="3"/>
  <c r="AD332" i="3"/>
  <c r="Z332" i="3"/>
  <c r="J332" i="3"/>
  <c r="AL332" i="3" s="1"/>
  <c r="I332" i="3"/>
  <c r="H332" i="3"/>
  <c r="BJ324" i="3"/>
  <c r="BH324" i="3"/>
  <c r="AB324" i="3" s="1"/>
  <c r="BF324" i="3"/>
  <c r="BD324" i="3"/>
  <c r="AW324" i="3"/>
  <c r="AP324" i="3"/>
  <c r="AO324" i="3"/>
  <c r="AL324" i="3"/>
  <c r="AK324" i="3"/>
  <c r="AJ324" i="3"/>
  <c r="AH324" i="3"/>
  <c r="AG324" i="3"/>
  <c r="AF324" i="3"/>
  <c r="AE324" i="3"/>
  <c r="AD324" i="3"/>
  <c r="Z324" i="3"/>
  <c r="J324" i="3"/>
  <c r="I324" i="3"/>
  <c r="H324" i="3"/>
  <c r="BJ322" i="3"/>
  <c r="BH322" i="3"/>
  <c r="AB322" i="3" s="1"/>
  <c r="BF322" i="3"/>
  <c r="BD322" i="3"/>
  <c r="AP322" i="3"/>
  <c r="AO322" i="3"/>
  <c r="AW322" i="3" s="1"/>
  <c r="AL322" i="3"/>
  <c r="AK322" i="3"/>
  <c r="AJ322" i="3"/>
  <c r="AH322" i="3"/>
  <c r="AG322" i="3"/>
  <c r="AF322" i="3"/>
  <c r="AE322" i="3"/>
  <c r="AD322" i="3"/>
  <c r="Z322" i="3"/>
  <c r="J322" i="3"/>
  <c r="BJ320" i="3"/>
  <c r="BF320" i="3"/>
  <c r="BD320" i="3"/>
  <c r="AX320" i="3"/>
  <c r="AP320" i="3"/>
  <c r="BI320" i="3" s="1"/>
  <c r="AO320" i="3"/>
  <c r="AK320" i="3"/>
  <c r="AJ320" i="3"/>
  <c r="AH320" i="3"/>
  <c r="AG320" i="3"/>
  <c r="AF320" i="3"/>
  <c r="AE320" i="3"/>
  <c r="AD320" i="3"/>
  <c r="AC320" i="3"/>
  <c r="Z320" i="3"/>
  <c r="J320" i="3"/>
  <c r="AL320" i="3" s="1"/>
  <c r="I320" i="3"/>
  <c r="BJ318" i="3"/>
  <c r="BH318" i="3"/>
  <c r="AB318" i="3" s="1"/>
  <c r="BF318" i="3"/>
  <c r="BD318" i="3"/>
  <c r="AW318" i="3"/>
  <c r="AP318" i="3"/>
  <c r="AO318" i="3"/>
  <c r="H318" i="3" s="1"/>
  <c r="AL318" i="3"/>
  <c r="AK318" i="3"/>
  <c r="AJ318" i="3"/>
  <c r="AH318" i="3"/>
  <c r="AG318" i="3"/>
  <c r="AF318" i="3"/>
  <c r="AE318" i="3"/>
  <c r="AD318" i="3"/>
  <c r="Z318" i="3"/>
  <c r="J318" i="3"/>
  <c r="BJ316" i="3"/>
  <c r="BF316" i="3"/>
  <c r="BD316" i="3"/>
  <c r="AP316" i="3"/>
  <c r="AO316" i="3"/>
  <c r="BH316" i="3" s="1"/>
  <c r="AB316" i="3" s="1"/>
  <c r="AL316" i="3"/>
  <c r="AK316" i="3"/>
  <c r="AJ316" i="3"/>
  <c r="AH316" i="3"/>
  <c r="AG316" i="3"/>
  <c r="AF316" i="3"/>
  <c r="AE316" i="3"/>
  <c r="AD316" i="3"/>
  <c r="Z316" i="3"/>
  <c r="J316" i="3"/>
  <c r="BJ314" i="3"/>
  <c r="BI314" i="3"/>
  <c r="AC314" i="3" s="1"/>
  <c r="BF314" i="3"/>
  <c r="BD314" i="3"/>
  <c r="AP314" i="3"/>
  <c r="AX314" i="3" s="1"/>
  <c r="AO314" i="3"/>
  <c r="BH314" i="3" s="1"/>
  <c r="AB314" i="3" s="1"/>
  <c r="AL314" i="3"/>
  <c r="AK314" i="3"/>
  <c r="AJ314" i="3"/>
  <c r="AH314" i="3"/>
  <c r="AG314" i="3"/>
  <c r="AF314" i="3"/>
  <c r="AE314" i="3"/>
  <c r="AD314" i="3"/>
  <c r="Z314" i="3"/>
  <c r="J314" i="3"/>
  <c r="I314" i="3"/>
  <c r="H314" i="3"/>
  <c r="BJ312" i="3"/>
  <c r="BI312" i="3"/>
  <c r="AC312" i="3" s="1"/>
  <c r="BH312" i="3"/>
  <c r="AB312" i="3" s="1"/>
  <c r="BF312" i="3"/>
  <c r="BD312" i="3"/>
  <c r="AX312" i="3"/>
  <c r="AW312" i="3"/>
  <c r="AP312" i="3"/>
  <c r="AO312" i="3"/>
  <c r="AK312" i="3"/>
  <c r="AJ312" i="3"/>
  <c r="AH312" i="3"/>
  <c r="AG312" i="3"/>
  <c r="AF312" i="3"/>
  <c r="AE312" i="3"/>
  <c r="AD312" i="3"/>
  <c r="Z312" i="3"/>
  <c r="J312" i="3"/>
  <c r="I312" i="3"/>
  <c r="H312" i="3"/>
  <c r="BJ309" i="3"/>
  <c r="BH309" i="3"/>
  <c r="BF309" i="3"/>
  <c r="BD309" i="3"/>
  <c r="AW309" i="3"/>
  <c r="AP309" i="3"/>
  <c r="AO309" i="3"/>
  <c r="AK309" i="3"/>
  <c r="AJ309" i="3"/>
  <c r="AS308" i="3" s="1"/>
  <c r="AH309" i="3"/>
  <c r="AG309" i="3"/>
  <c r="AF309" i="3"/>
  <c r="AE309" i="3"/>
  <c r="AD309" i="3"/>
  <c r="AB309" i="3"/>
  <c r="Z309" i="3"/>
  <c r="J309" i="3"/>
  <c r="H309" i="3"/>
  <c r="H308" i="3" s="1"/>
  <c r="AT308" i="3"/>
  <c r="BJ306" i="3"/>
  <c r="BI306" i="3"/>
  <c r="BF306" i="3"/>
  <c r="BD306" i="3"/>
  <c r="AP306" i="3"/>
  <c r="AO306" i="3"/>
  <c r="AL306" i="3"/>
  <c r="AK306" i="3"/>
  <c r="AJ306" i="3"/>
  <c r="AH306" i="3"/>
  <c r="AG306" i="3"/>
  <c r="AF306" i="3"/>
  <c r="AE306" i="3"/>
  <c r="AD306" i="3"/>
  <c r="AC306" i="3"/>
  <c r="Z306" i="3"/>
  <c r="J306" i="3"/>
  <c r="BJ304" i="3"/>
  <c r="BI304" i="3"/>
  <c r="AC304" i="3" s="1"/>
  <c r="BF304" i="3"/>
  <c r="BD304" i="3"/>
  <c r="BC304" i="3"/>
  <c r="AW304" i="3"/>
  <c r="AV304" i="3"/>
  <c r="AP304" i="3"/>
  <c r="AX304" i="3" s="1"/>
  <c r="AO304" i="3"/>
  <c r="BH304" i="3" s="1"/>
  <c r="AB304" i="3" s="1"/>
  <c r="AL304" i="3"/>
  <c r="AK304" i="3"/>
  <c r="AJ304" i="3"/>
  <c r="AH304" i="3"/>
  <c r="AG304" i="3"/>
  <c r="AF304" i="3"/>
  <c r="AE304" i="3"/>
  <c r="AD304" i="3"/>
  <c r="Z304" i="3"/>
  <c r="J304" i="3"/>
  <c r="I304" i="3"/>
  <c r="H304" i="3"/>
  <c r="BJ302" i="3"/>
  <c r="BI302" i="3"/>
  <c r="AC302" i="3" s="1"/>
  <c r="BH302" i="3"/>
  <c r="AB302" i="3" s="1"/>
  <c r="BF302" i="3"/>
  <c r="BD302" i="3"/>
  <c r="AX302" i="3"/>
  <c r="BC302" i="3" s="1"/>
  <c r="AW302" i="3"/>
  <c r="AV302" i="3"/>
  <c r="AP302" i="3"/>
  <c r="AO302" i="3"/>
  <c r="AK302" i="3"/>
  <c r="AT301" i="3" s="1"/>
  <c r="AJ302" i="3"/>
  <c r="AS301" i="3" s="1"/>
  <c r="AH302" i="3"/>
  <c r="AG302" i="3"/>
  <c r="AF302" i="3"/>
  <c r="AE302" i="3"/>
  <c r="AD302" i="3"/>
  <c r="Z302" i="3"/>
  <c r="J302" i="3"/>
  <c r="AL302" i="3" s="1"/>
  <c r="AU301" i="3" s="1"/>
  <c r="I302" i="3"/>
  <c r="H302" i="3"/>
  <c r="J301" i="3"/>
  <c r="BJ298" i="3"/>
  <c r="BH298" i="3"/>
  <c r="BF298" i="3"/>
  <c r="BD298" i="3"/>
  <c r="AX298" i="3"/>
  <c r="AW298" i="3"/>
  <c r="BC298" i="3" s="1"/>
  <c r="AV298" i="3"/>
  <c r="AP298" i="3"/>
  <c r="BI298" i="3" s="1"/>
  <c r="AC298" i="3" s="1"/>
  <c r="AO298" i="3"/>
  <c r="AK298" i="3"/>
  <c r="AJ298" i="3"/>
  <c r="AS297" i="3" s="1"/>
  <c r="AH298" i="3"/>
  <c r="AG298" i="3"/>
  <c r="AF298" i="3"/>
  <c r="AE298" i="3"/>
  <c r="AD298" i="3"/>
  <c r="AB298" i="3"/>
  <c r="Z298" i="3"/>
  <c r="J298" i="3"/>
  <c r="I298" i="3"/>
  <c r="I297" i="3" s="1"/>
  <c r="H298" i="3"/>
  <c r="H297" i="3" s="1"/>
  <c r="AT297" i="3"/>
  <c r="BJ288" i="3"/>
  <c r="BI288" i="3"/>
  <c r="BF288" i="3"/>
  <c r="BD288" i="3"/>
  <c r="AP288" i="3"/>
  <c r="AX288" i="3" s="1"/>
  <c r="AO288" i="3"/>
  <c r="BH288" i="3" s="1"/>
  <c r="AD288" i="3" s="1"/>
  <c r="AL288" i="3"/>
  <c r="AK288" i="3"/>
  <c r="AJ288" i="3"/>
  <c r="AH288" i="3"/>
  <c r="AG288" i="3"/>
  <c r="AF288" i="3"/>
  <c r="AE288" i="3"/>
  <c r="AC288" i="3"/>
  <c r="AB288" i="3"/>
  <c r="Z288" i="3"/>
  <c r="J288" i="3"/>
  <c r="I288" i="3"/>
  <c r="BJ279" i="3"/>
  <c r="BI279" i="3"/>
  <c r="BF279" i="3"/>
  <c r="BD279" i="3"/>
  <c r="AW279" i="3"/>
  <c r="BC279" i="3" s="1"/>
  <c r="AP279" i="3"/>
  <c r="AX279" i="3" s="1"/>
  <c r="AV279" i="3" s="1"/>
  <c r="AO279" i="3"/>
  <c r="BH279" i="3" s="1"/>
  <c r="AD279" i="3" s="1"/>
  <c r="AL279" i="3"/>
  <c r="AU278" i="3" s="1"/>
  <c r="AK279" i="3"/>
  <c r="AJ279" i="3"/>
  <c r="AH279" i="3"/>
  <c r="AG279" i="3"/>
  <c r="AF279" i="3"/>
  <c r="AE279" i="3"/>
  <c r="AC279" i="3"/>
  <c r="AB279" i="3"/>
  <c r="Z279" i="3"/>
  <c r="J279" i="3"/>
  <c r="I279" i="3"/>
  <c r="I278" i="3" s="1"/>
  <c r="H279" i="3"/>
  <c r="AT278" i="3"/>
  <c r="AS278" i="3"/>
  <c r="J278" i="3"/>
  <c r="BJ276" i="3"/>
  <c r="BI276" i="3"/>
  <c r="BH276" i="3"/>
  <c r="BF276" i="3"/>
  <c r="BD276" i="3"/>
  <c r="AX276" i="3"/>
  <c r="AV276" i="3"/>
  <c r="AP276" i="3"/>
  <c r="I276" i="3" s="1"/>
  <c r="AO276" i="3"/>
  <c r="AW276" i="3" s="1"/>
  <c r="BC276" i="3" s="1"/>
  <c r="AL276" i="3"/>
  <c r="AK276" i="3"/>
  <c r="AJ276" i="3"/>
  <c r="AH276" i="3"/>
  <c r="AG276" i="3"/>
  <c r="AF276" i="3"/>
  <c r="AE276" i="3"/>
  <c r="AD276" i="3"/>
  <c r="AC276" i="3"/>
  <c r="AB276" i="3"/>
  <c r="Z276" i="3"/>
  <c r="J276" i="3"/>
  <c r="H276" i="3"/>
  <c r="BJ274" i="3"/>
  <c r="BH274" i="3"/>
  <c r="BF274" i="3"/>
  <c r="BD274" i="3"/>
  <c r="AW274" i="3"/>
  <c r="AP274" i="3"/>
  <c r="BI274" i="3" s="1"/>
  <c r="AE274" i="3" s="1"/>
  <c r="AO274" i="3"/>
  <c r="AK274" i="3"/>
  <c r="AJ274" i="3"/>
  <c r="AH274" i="3"/>
  <c r="AG274" i="3"/>
  <c r="AF274" i="3"/>
  <c r="AD274" i="3"/>
  <c r="AC274" i="3"/>
  <c r="AB274" i="3"/>
  <c r="Z274" i="3"/>
  <c r="J274" i="3"/>
  <c r="H274" i="3"/>
  <c r="H273" i="3" s="1"/>
  <c r="BJ272" i="3"/>
  <c r="Z272" i="3" s="1"/>
  <c r="BF272" i="3"/>
  <c r="BD272" i="3"/>
  <c r="AP272" i="3"/>
  <c r="AO272" i="3"/>
  <c r="BH272" i="3" s="1"/>
  <c r="AL272" i="3"/>
  <c r="AK272" i="3"/>
  <c r="AJ272" i="3"/>
  <c r="AH272" i="3"/>
  <c r="AG272" i="3"/>
  <c r="AF272" i="3"/>
  <c r="AE272" i="3"/>
  <c r="AD272" i="3"/>
  <c r="AC272" i="3"/>
  <c r="AB272" i="3"/>
  <c r="J272" i="3"/>
  <c r="H272" i="3"/>
  <c r="BJ270" i="3"/>
  <c r="BI270" i="3"/>
  <c r="BF270" i="3"/>
  <c r="BD270" i="3"/>
  <c r="AP270" i="3"/>
  <c r="AX270" i="3" s="1"/>
  <c r="AO270" i="3"/>
  <c r="AL270" i="3"/>
  <c r="AK270" i="3"/>
  <c r="AJ270" i="3"/>
  <c r="AH270" i="3"/>
  <c r="AG270" i="3"/>
  <c r="AF270" i="3"/>
  <c r="AE270" i="3"/>
  <c r="AC270" i="3"/>
  <c r="AB270" i="3"/>
  <c r="Z270" i="3"/>
  <c r="J270" i="3"/>
  <c r="I270" i="3"/>
  <c r="BJ268" i="3"/>
  <c r="BI268" i="3"/>
  <c r="AE268" i="3" s="1"/>
  <c r="BH268" i="3"/>
  <c r="AD268" i="3" s="1"/>
  <c r="BF268" i="3"/>
  <c r="BD268" i="3"/>
  <c r="BC268" i="3"/>
  <c r="AX268" i="3"/>
  <c r="AW268" i="3"/>
  <c r="AV268" i="3" s="1"/>
  <c r="AP268" i="3"/>
  <c r="AO268" i="3"/>
  <c r="AK268" i="3"/>
  <c r="AJ268" i="3"/>
  <c r="AH268" i="3"/>
  <c r="AG268" i="3"/>
  <c r="AF268" i="3"/>
  <c r="AC268" i="3"/>
  <c r="AB268" i="3"/>
  <c r="Z268" i="3"/>
  <c r="J268" i="3"/>
  <c r="I268" i="3"/>
  <c r="H268" i="3"/>
  <c r="AS267" i="3"/>
  <c r="BJ266" i="3"/>
  <c r="Z266" i="3" s="1"/>
  <c r="BH266" i="3"/>
  <c r="BF266" i="3"/>
  <c r="BD266" i="3"/>
  <c r="AW266" i="3"/>
  <c r="AP266" i="3"/>
  <c r="AX266" i="3" s="1"/>
  <c r="AV266" i="3" s="1"/>
  <c r="AO266" i="3"/>
  <c r="AK266" i="3"/>
  <c r="AJ266" i="3"/>
  <c r="AH266" i="3"/>
  <c r="AG266" i="3"/>
  <c r="AF266" i="3"/>
  <c r="AE266" i="3"/>
  <c r="AD266" i="3"/>
  <c r="AC266" i="3"/>
  <c r="AB266" i="3"/>
  <c r="J266" i="3"/>
  <c r="AL266" i="3" s="1"/>
  <c r="H266" i="3"/>
  <c r="BJ264" i="3"/>
  <c r="BF264" i="3"/>
  <c r="BD264" i="3"/>
  <c r="AP264" i="3"/>
  <c r="AO264" i="3"/>
  <c r="AK264" i="3"/>
  <c r="AJ264" i="3"/>
  <c r="AH264" i="3"/>
  <c r="AG264" i="3"/>
  <c r="AF264" i="3"/>
  <c r="AC264" i="3"/>
  <c r="AB264" i="3"/>
  <c r="Z264" i="3"/>
  <c r="J264" i="3"/>
  <c r="AL264" i="3" s="1"/>
  <c r="BJ262" i="3"/>
  <c r="BI262" i="3"/>
  <c r="AE262" i="3" s="1"/>
  <c r="BH262" i="3"/>
  <c r="AD262" i="3" s="1"/>
  <c r="BF262" i="3"/>
  <c r="BD262" i="3"/>
  <c r="AX262" i="3"/>
  <c r="AW262" i="3"/>
  <c r="AP262" i="3"/>
  <c r="AO262" i="3"/>
  <c r="H262" i="3" s="1"/>
  <c r="AL262" i="3"/>
  <c r="AK262" i="3"/>
  <c r="AJ262" i="3"/>
  <c r="AH262" i="3"/>
  <c r="AG262" i="3"/>
  <c r="AF262" i="3"/>
  <c r="AC262" i="3"/>
  <c r="AB262" i="3"/>
  <c r="Z262" i="3"/>
  <c r="J262" i="3"/>
  <c r="I262" i="3"/>
  <c r="BJ260" i="3"/>
  <c r="BH260" i="3"/>
  <c r="AD260" i="3" s="1"/>
  <c r="BF260" i="3"/>
  <c r="BD260" i="3"/>
  <c r="AW260" i="3"/>
  <c r="AP260" i="3"/>
  <c r="AO260" i="3"/>
  <c r="AL260" i="3"/>
  <c r="AK260" i="3"/>
  <c r="AJ260" i="3"/>
  <c r="AH260" i="3"/>
  <c r="AG260" i="3"/>
  <c r="AF260" i="3"/>
  <c r="AC260" i="3"/>
  <c r="AB260" i="3"/>
  <c r="Z260" i="3"/>
  <c r="J260" i="3"/>
  <c r="H260" i="3"/>
  <c r="BJ257" i="3"/>
  <c r="BH257" i="3"/>
  <c r="AD257" i="3" s="1"/>
  <c r="BF257" i="3"/>
  <c r="BD257" i="3"/>
  <c r="AW257" i="3"/>
  <c r="AP257" i="3"/>
  <c r="AO257" i="3"/>
  <c r="AL257" i="3"/>
  <c r="AK257" i="3"/>
  <c r="AJ257" i="3"/>
  <c r="AH257" i="3"/>
  <c r="AG257" i="3"/>
  <c r="AF257" i="3"/>
  <c r="AC257" i="3"/>
  <c r="AB257" i="3"/>
  <c r="Z257" i="3"/>
  <c r="J257" i="3"/>
  <c r="H257" i="3"/>
  <c r="BJ254" i="3"/>
  <c r="BH254" i="3"/>
  <c r="AD254" i="3" s="1"/>
  <c r="BF254" i="3"/>
  <c r="BD254" i="3"/>
  <c r="AW254" i="3"/>
  <c r="AP254" i="3"/>
  <c r="AO254" i="3"/>
  <c r="H254" i="3" s="1"/>
  <c r="AL254" i="3"/>
  <c r="AK254" i="3"/>
  <c r="AJ254" i="3"/>
  <c r="AH254" i="3"/>
  <c r="AG254" i="3"/>
  <c r="AF254" i="3"/>
  <c r="AC254" i="3"/>
  <c r="AB254" i="3"/>
  <c r="Z254" i="3"/>
  <c r="J254" i="3"/>
  <c r="J246" i="3" s="1"/>
  <c r="BJ252" i="3"/>
  <c r="BI252" i="3"/>
  <c r="BF252" i="3"/>
  <c r="BD252" i="3"/>
  <c r="AP252" i="3"/>
  <c r="AX252" i="3" s="1"/>
  <c r="AO252" i="3"/>
  <c r="AL252" i="3"/>
  <c r="AK252" i="3"/>
  <c r="AT246" i="3" s="1"/>
  <c r="AJ252" i="3"/>
  <c r="AH252" i="3"/>
  <c r="AG252" i="3"/>
  <c r="AF252" i="3"/>
  <c r="AE252" i="3"/>
  <c r="AC252" i="3"/>
  <c r="AB252" i="3"/>
  <c r="Z252" i="3"/>
  <c r="J252" i="3"/>
  <c r="I252" i="3"/>
  <c r="BJ249" i="3"/>
  <c r="BF249" i="3"/>
  <c r="BD249" i="3"/>
  <c r="AP249" i="3"/>
  <c r="AO249" i="3"/>
  <c r="BH249" i="3" s="1"/>
  <c r="AD249" i="3" s="1"/>
  <c r="AL249" i="3"/>
  <c r="AK249" i="3"/>
  <c r="AJ249" i="3"/>
  <c r="AH249" i="3"/>
  <c r="AG249" i="3"/>
  <c r="AF249" i="3"/>
  <c r="AC249" i="3"/>
  <c r="AB249" i="3"/>
  <c r="Z249" i="3"/>
  <c r="J249" i="3"/>
  <c r="BJ247" i="3"/>
  <c r="BI247" i="3"/>
  <c r="BF247" i="3"/>
  <c r="BD247" i="3"/>
  <c r="AP247" i="3"/>
  <c r="AX247" i="3" s="1"/>
  <c r="AO247" i="3"/>
  <c r="BH247" i="3" s="1"/>
  <c r="AD247" i="3" s="1"/>
  <c r="AL247" i="3"/>
  <c r="AK247" i="3"/>
  <c r="AJ247" i="3"/>
  <c r="AH247" i="3"/>
  <c r="AG247" i="3"/>
  <c r="AF247" i="3"/>
  <c r="AE247" i="3"/>
  <c r="AC247" i="3"/>
  <c r="AB247" i="3"/>
  <c r="Z247" i="3"/>
  <c r="J247" i="3"/>
  <c r="I247" i="3"/>
  <c r="BJ245" i="3"/>
  <c r="Z245" i="3" s="1"/>
  <c r="BH245" i="3"/>
  <c r="BF245" i="3"/>
  <c r="BD245" i="3"/>
  <c r="AP245" i="3"/>
  <c r="AO245" i="3"/>
  <c r="AW245" i="3" s="1"/>
  <c r="AL245" i="3"/>
  <c r="AK245" i="3"/>
  <c r="AJ245" i="3"/>
  <c r="AH245" i="3"/>
  <c r="AG245" i="3"/>
  <c r="AF245" i="3"/>
  <c r="AE245" i="3"/>
  <c r="AD245" i="3"/>
  <c r="AC245" i="3"/>
  <c r="AB245" i="3"/>
  <c r="J245" i="3"/>
  <c r="H245" i="3"/>
  <c r="BJ242" i="3"/>
  <c r="BH242" i="3"/>
  <c r="AD242" i="3" s="1"/>
  <c r="BF242" i="3"/>
  <c r="BD242" i="3"/>
  <c r="AW242" i="3"/>
  <c r="AP242" i="3"/>
  <c r="AO242" i="3"/>
  <c r="AK242" i="3"/>
  <c r="AT241" i="3" s="1"/>
  <c r="AJ242" i="3"/>
  <c r="AS241" i="3" s="1"/>
  <c r="AH242" i="3"/>
  <c r="AG242" i="3"/>
  <c r="AF242" i="3"/>
  <c r="AC242" i="3"/>
  <c r="AB242" i="3"/>
  <c r="Z242" i="3"/>
  <c r="J242" i="3"/>
  <c r="H242" i="3"/>
  <c r="H241" i="3" s="1"/>
  <c r="BJ240" i="3"/>
  <c r="BI240" i="3"/>
  <c r="BF240" i="3"/>
  <c r="BD240" i="3"/>
  <c r="AP240" i="3"/>
  <c r="AO240" i="3"/>
  <c r="AL240" i="3"/>
  <c r="AK240" i="3"/>
  <c r="AJ240" i="3"/>
  <c r="AH240" i="3"/>
  <c r="AG240" i="3"/>
  <c r="AF240" i="3"/>
  <c r="AE240" i="3"/>
  <c r="AD240" i="3"/>
  <c r="AC240" i="3"/>
  <c r="AB240" i="3"/>
  <c r="Z240" i="3"/>
  <c r="J240" i="3"/>
  <c r="H240" i="3"/>
  <c r="BJ237" i="3"/>
  <c r="BI237" i="3"/>
  <c r="BF237" i="3"/>
  <c r="BD237" i="3"/>
  <c r="AW237" i="3"/>
  <c r="BC237" i="3" s="1"/>
  <c r="AP237" i="3"/>
  <c r="AX237" i="3" s="1"/>
  <c r="AO237" i="3"/>
  <c r="BH237" i="3" s="1"/>
  <c r="AD237" i="3" s="1"/>
  <c r="AL237" i="3"/>
  <c r="AK237" i="3"/>
  <c r="AJ237" i="3"/>
  <c r="AH237" i="3"/>
  <c r="AG237" i="3"/>
  <c r="AF237" i="3"/>
  <c r="AE237" i="3"/>
  <c r="AC237" i="3"/>
  <c r="AB237" i="3"/>
  <c r="Z237" i="3"/>
  <c r="J237" i="3"/>
  <c r="I237" i="3"/>
  <c r="H237" i="3"/>
  <c r="BJ235" i="3"/>
  <c r="BI235" i="3"/>
  <c r="BH235" i="3"/>
  <c r="BF235" i="3"/>
  <c r="BD235" i="3"/>
  <c r="AX235" i="3"/>
  <c r="AW235" i="3"/>
  <c r="AP235" i="3"/>
  <c r="AO235" i="3"/>
  <c r="AK235" i="3"/>
  <c r="AJ235" i="3"/>
  <c r="AH235" i="3"/>
  <c r="AG235" i="3"/>
  <c r="AF235" i="3"/>
  <c r="AE235" i="3"/>
  <c r="AD235" i="3"/>
  <c r="AC235" i="3"/>
  <c r="AB235" i="3"/>
  <c r="Z235" i="3"/>
  <c r="J235" i="3"/>
  <c r="AL235" i="3" s="1"/>
  <c r="I235" i="3"/>
  <c r="H235" i="3"/>
  <c r="BJ233" i="3"/>
  <c r="BF233" i="3"/>
  <c r="BD233" i="3"/>
  <c r="AX233" i="3"/>
  <c r="AP233" i="3"/>
  <c r="AO233" i="3"/>
  <c r="AK233" i="3"/>
  <c r="AJ233" i="3"/>
  <c r="AH233" i="3"/>
  <c r="AG233" i="3"/>
  <c r="AF233" i="3"/>
  <c r="AC233" i="3"/>
  <c r="AB233" i="3"/>
  <c r="Z233" i="3"/>
  <c r="J233" i="3"/>
  <c r="AL233" i="3" s="1"/>
  <c r="H233" i="3"/>
  <c r="BJ231" i="3"/>
  <c r="BI231" i="3"/>
  <c r="AE231" i="3" s="1"/>
  <c r="BF231" i="3"/>
  <c r="BD231" i="3"/>
  <c r="AX231" i="3"/>
  <c r="AP231" i="3"/>
  <c r="I231" i="3" s="1"/>
  <c r="AO231" i="3"/>
  <c r="AK231" i="3"/>
  <c r="AJ231" i="3"/>
  <c r="AH231" i="3"/>
  <c r="AG231" i="3"/>
  <c r="AF231" i="3"/>
  <c r="AC231" i="3"/>
  <c r="AB231" i="3"/>
  <c r="Z231" i="3"/>
  <c r="J231" i="3"/>
  <c r="AL231" i="3" s="1"/>
  <c r="BJ229" i="3"/>
  <c r="BI229" i="3"/>
  <c r="AE229" i="3" s="1"/>
  <c r="BF229" i="3"/>
  <c r="BD229" i="3"/>
  <c r="AX229" i="3"/>
  <c r="AP229" i="3"/>
  <c r="AO229" i="3"/>
  <c r="AK229" i="3"/>
  <c r="AJ229" i="3"/>
  <c r="AH229" i="3"/>
  <c r="AG229" i="3"/>
  <c r="AF229" i="3"/>
  <c r="AC229" i="3"/>
  <c r="AB229" i="3"/>
  <c r="Z229" i="3"/>
  <c r="J229" i="3"/>
  <c r="AL229" i="3" s="1"/>
  <c r="I229" i="3"/>
  <c r="BJ227" i="3"/>
  <c r="BI227" i="3"/>
  <c r="BH227" i="3"/>
  <c r="AD227" i="3" s="1"/>
  <c r="BF227" i="3"/>
  <c r="BD227" i="3"/>
  <c r="AP227" i="3"/>
  <c r="AX227" i="3" s="1"/>
  <c r="AO227" i="3"/>
  <c r="AL227" i="3"/>
  <c r="AK227" i="3"/>
  <c r="AJ227" i="3"/>
  <c r="AH227" i="3"/>
  <c r="AG227" i="3"/>
  <c r="AF227" i="3"/>
  <c r="AE227" i="3"/>
  <c r="AC227" i="3"/>
  <c r="AB227" i="3"/>
  <c r="Z227" i="3"/>
  <c r="J227" i="3"/>
  <c r="I227" i="3"/>
  <c r="BJ225" i="3"/>
  <c r="BH225" i="3"/>
  <c r="BF225" i="3"/>
  <c r="BD225" i="3"/>
  <c r="AP225" i="3"/>
  <c r="AO225" i="3"/>
  <c r="AW225" i="3" s="1"/>
  <c r="AK225" i="3"/>
  <c r="AJ225" i="3"/>
  <c r="AH225" i="3"/>
  <c r="AG225" i="3"/>
  <c r="AF225" i="3"/>
  <c r="AD225" i="3"/>
  <c r="AC225" i="3"/>
  <c r="AB225" i="3"/>
  <c r="Z225" i="3"/>
  <c r="J225" i="3"/>
  <c r="AL225" i="3" s="1"/>
  <c r="H225" i="3"/>
  <c r="BJ223" i="3"/>
  <c r="BH223" i="3"/>
  <c r="BF223" i="3"/>
  <c r="BD223" i="3"/>
  <c r="AP223" i="3"/>
  <c r="AO223" i="3"/>
  <c r="AW223" i="3" s="1"/>
  <c r="AK223" i="3"/>
  <c r="AJ223" i="3"/>
  <c r="AH223" i="3"/>
  <c r="AG223" i="3"/>
  <c r="AF223" i="3"/>
  <c r="AD223" i="3"/>
  <c r="AC223" i="3"/>
  <c r="AB223" i="3"/>
  <c r="Z223" i="3"/>
  <c r="J223" i="3"/>
  <c r="AL223" i="3" s="1"/>
  <c r="H223" i="3"/>
  <c r="BJ221" i="3"/>
  <c r="BH221" i="3"/>
  <c r="AD221" i="3" s="1"/>
  <c r="BF221" i="3"/>
  <c r="BD221" i="3"/>
  <c r="AX221" i="3"/>
  <c r="AW221" i="3"/>
  <c r="BC221" i="3" s="1"/>
  <c r="AV221" i="3"/>
  <c r="AP221" i="3"/>
  <c r="AO221" i="3"/>
  <c r="AK221" i="3"/>
  <c r="AJ221" i="3"/>
  <c r="AH221" i="3"/>
  <c r="AG221" i="3"/>
  <c r="AF221" i="3"/>
  <c r="AC221" i="3"/>
  <c r="AB221" i="3"/>
  <c r="Z221" i="3"/>
  <c r="J221" i="3"/>
  <c r="AL221" i="3" s="1"/>
  <c r="H221" i="3"/>
  <c r="BJ218" i="3"/>
  <c r="BF218" i="3"/>
  <c r="BD218" i="3"/>
  <c r="AX218" i="3"/>
  <c r="AW218" i="3"/>
  <c r="AP218" i="3"/>
  <c r="BI218" i="3" s="1"/>
  <c r="AE218" i="3" s="1"/>
  <c r="AO218" i="3"/>
  <c r="AK218" i="3"/>
  <c r="AJ218" i="3"/>
  <c r="AH218" i="3"/>
  <c r="AG218" i="3"/>
  <c r="AF218" i="3"/>
  <c r="AC218" i="3"/>
  <c r="AB218" i="3"/>
  <c r="Z218" i="3"/>
  <c r="J218" i="3"/>
  <c r="AL218" i="3" s="1"/>
  <c r="I218" i="3"/>
  <c r="BJ216" i="3"/>
  <c r="BI216" i="3"/>
  <c r="AE216" i="3" s="1"/>
  <c r="BH216" i="3"/>
  <c r="BF216" i="3"/>
  <c r="BD216" i="3"/>
  <c r="AX216" i="3"/>
  <c r="AW216" i="3"/>
  <c r="AP216" i="3"/>
  <c r="AO216" i="3"/>
  <c r="H216" i="3" s="1"/>
  <c r="AL216" i="3"/>
  <c r="AU208" i="3" s="1"/>
  <c r="AK216" i="3"/>
  <c r="AJ216" i="3"/>
  <c r="AH216" i="3"/>
  <c r="AG216" i="3"/>
  <c r="AF216" i="3"/>
  <c r="AD216" i="3"/>
  <c r="AC216" i="3"/>
  <c r="AB216" i="3"/>
  <c r="Z216" i="3"/>
  <c r="J216" i="3"/>
  <c r="I216" i="3"/>
  <c r="BJ213" i="3"/>
  <c r="BH213" i="3"/>
  <c r="AD213" i="3" s="1"/>
  <c r="BF213" i="3"/>
  <c r="BD213" i="3"/>
  <c r="AW213" i="3"/>
  <c r="AP213" i="3"/>
  <c r="AO213" i="3"/>
  <c r="AL213" i="3"/>
  <c r="AK213" i="3"/>
  <c r="AJ213" i="3"/>
  <c r="AH213" i="3"/>
  <c r="AG213" i="3"/>
  <c r="AF213" i="3"/>
  <c r="AC213" i="3"/>
  <c r="AB213" i="3"/>
  <c r="Z213" i="3"/>
  <c r="J213" i="3"/>
  <c r="H213" i="3"/>
  <c r="BJ209" i="3"/>
  <c r="BH209" i="3"/>
  <c r="AD209" i="3" s="1"/>
  <c r="BF209" i="3"/>
  <c r="BD209" i="3"/>
  <c r="AW209" i="3"/>
  <c r="AP209" i="3"/>
  <c r="AO209" i="3"/>
  <c r="AL209" i="3"/>
  <c r="AK209" i="3"/>
  <c r="AJ209" i="3"/>
  <c r="AH209" i="3"/>
  <c r="AG209" i="3"/>
  <c r="AF209" i="3"/>
  <c r="AC209" i="3"/>
  <c r="AB209" i="3"/>
  <c r="Z209" i="3"/>
  <c r="J209" i="3"/>
  <c r="H209" i="3"/>
  <c r="AS208" i="3"/>
  <c r="BJ207" i="3"/>
  <c r="Z207" i="3" s="1"/>
  <c r="BI207" i="3"/>
  <c r="BF207" i="3"/>
  <c r="BD207" i="3"/>
  <c r="AX207" i="3"/>
  <c r="AP207" i="3"/>
  <c r="I207" i="3" s="1"/>
  <c r="AO207" i="3"/>
  <c r="AK207" i="3"/>
  <c r="AJ207" i="3"/>
  <c r="AH207" i="3"/>
  <c r="AG207" i="3"/>
  <c r="AF207" i="3"/>
  <c r="AE207" i="3"/>
  <c r="AD207" i="3"/>
  <c r="AC207" i="3"/>
  <c r="AB207" i="3"/>
  <c r="J207" i="3"/>
  <c r="AL207" i="3" s="1"/>
  <c r="BJ204" i="3"/>
  <c r="BI204" i="3"/>
  <c r="BF204" i="3"/>
  <c r="BD204" i="3"/>
  <c r="AX204" i="3"/>
  <c r="AP204" i="3"/>
  <c r="AO204" i="3"/>
  <c r="AL204" i="3"/>
  <c r="AK204" i="3"/>
  <c r="AT189" i="3" s="1"/>
  <c r="AJ204" i="3"/>
  <c r="AH204" i="3"/>
  <c r="AG204" i="3"/>
  <c r="AF204" i="3"/>
  <c r="AE204" i="3"/>
  <c r="AC204" i="3"/>
  <c r="AB204" i="3"/>
  <c r="Z204" i="3"/>
  <c r="J204" i="3"/>
  <c r="I204" i="3"/>
  <c r="BJ201" i="3"/>
  <c r="BI201" i="3"/>
  <c r="AE201" i="3" s="1"/>
  <c r="BH201" i="3"/>
  <c r="AD201" i="3" s="1"/>
  <c r="BF201" i="3"/>
  <c r="BD201" i="3"/>
  <c r="AV201" i="3"/>
  <c r="AP201" i="3"/>
  <c r="AX201" i="3" s="1"/>
  <c r="AO201" i="3"/>
  <c r="AW201" i="3" s="1"/>
  <c r="AL201" i="3"/>
  <c r="AK201" i="3"/>
  <c r="AJ201" i="3"/>
  <c r="AH201" i="3"/>
  <c r="AG201" i="3"/>
  <c r="AF201" i="3"/>
  <c r="AC201" i="3"/>
  <c r="AB201" i="3"/>
  <c r="Z201" i="3"/>
  <c r="J201" i="3"/>
  <c r="I201" i="3"/>
  <c r="H201" i="3"/>
  <c r="BJ199" i="3"/>
  <c r="BF199" i="3"/>
  <c r="BD199" i="3"/>
  <c r="AX199" i="3"/>
  <c r="AP199" i="3"/>
  <c r="I199" i="3" s="1"/>
  <c r="AO199" i="3"/>
  <c r="AL199" i="3"/>
  <c r="AK199" i="3"/>
  <c r="AJ199" i="3"/>
  <c r="AH199" i="3"/>
  <c r="AG199" i="3"/>
  <c r="AF199" i="3"/>
  <c r="AC199" i="3"/>
  <c r="AB199" i="3"/>
  <c r="Z199" i="3"/>
  <c r="J199" i="3"/>
  <c r="H199" i="3"/>
  <c r="BJ196" i="3"/>
  <c r="BH196" i="3"/>
  <c r="AD196" i="3" s="1"/>
  <c r="BF196" i="3"/>
  <c r="BD196" i="3"/>
  <c r="AX196" i="3"/>
  <c r="AV196" i="3"/>
  <c r="AP196" i="3"/>
  <c r="AO196" i="3"/>
  <c r="AW196" i="3" s="1"/>
  <c r="BC196" i="3" s="1"/>
  <c r="AL196" i="3"/>
  <c r="AK196" i="3"/>
  <c r="AJ196" i="3"/>
  <c r="AH196" i="3"/>
  <c r="AG196" i="3"/>
  <c r="AF196" i="3"/>
  <c r="AC196" i="3"/>
  <c r="AB196" i="3"/>
  <c r="Z196" i="3"/>
  <c r="J196" i="3"/>
  <c r="H196" i="3"/>
  <c r="BJ194" i="3"/>
  <c r="BH194" i="3"/>
  <c r="AD194" i="3" s="1"/>
  <c r="BF194" i="3"/>
  <c r="BD194" i="3"/>
  <c r="AW194" i="3"/>
  <c r="AP194" i="3"/>
  <c r="I194" i="3" s="1"/>
  <c r="AO194" i="3"/>
  <c r="AK194" i="3"/>
  <c r="AJ194" i="3"/>
  <c r="AH194" i="3"/>
  <c r="AG194" i="3"/>
  <c r="AF194" i="3"/>
  <c r="AC194" i="3"/>
  <c r="AB194" i="3"/>
  <c r="Z194" i="3"/>
  <c r="J194" i="3"/>
  <c r="AL194" i="3" s="1"/>
  <c r="H194" i="3"/>
  <c r="BJ190" i="3"/>
  <c r="BF190" i="3"/>
  <c r="BD190" i="3"/>
  <c r="AX190" i="3"/>
  <c r="AP190" i="3"/>
  <c r="BI190" i="3" s="1"/>
  <c r="AE190" i="3" s="1"/>
  <c r="AO190" i="3"/>
  <c r="AL190" i="3"/>
  <c r="AK190" i="3"/>
  <c r="AJ190" i="3"/>
  <c r="AH190" i="3"/>
  <c r="AG190" i="3"/>
  <c r="AF190" i="3"/>
  <c r="AC190" i="3"/>
  <c r="AB190" i="3"/>
  <c r="Z190" i="3"/>
  <c r="J190" i="3"/>
  <c r="I190" i="3"/>
  <c r="AS189" i="3"/>
  <c r="BJ188" i="3"/>
  <c r="BI188" i="3"/>
  <c r="BF188" i="3"/>
  <c r="BD188" i="3"/>
  <c r="AW188" i="3"/>
  <c r="BC188" i="3" s="1"/>
  <c r="AV188" i="3"/>
  <c r="AP188" i="3"/>
  <c r="AX188" i="3" s="1"/>
  <c r="AO188" i="3"/>
  <c r="BH188" i="3" s="1"/>
  <c r="AL188" i="3"/>
  <c r="AK188" i="3"/>
  <c r="AJ188" i="3"/>
  <c r="AH188" i="3"/>
  <c r="AG188" i="3"/>
  <c r="AF188" i="3"/>
  <c r="AE188" i="3"/>
  <c r="AD188" i="3"/>
  <c r="AC188" i="3"/>
  <c r="AB188" i="3"/>
  <c r="Z188" i="3"/>
  <c r="J188" i="3"/>
  <c r="I188" i="3"/>
  <c r="H188" i="3"/>
  <c r="BJ185" i="3"/>
  <c r="BI185" i="3"/>
  <c r="BH185" i="3"/>
  <c r="BF185" i="3"/>
  <c r="BD185" i="3"/>
  <c r="AX185" i="3"/>
  <c r="BC185" i="3" s="1"/>
  <c r="AW185" i="3"/>
  <c r="AV185" i="3"/>
  <c r="AP185" i="3"/>
  <c r="AO185" i="3"/>
  <c r="AK185" i="3"/>
  <c r="AT184" i="3" s="1"/>
  <c r="AJ185" i="3"/>
  <c r="AH185" i="3"/>
  <c r="AG185" i="3"/>
  <c r="AF185" i="3"/>
  <c r="AE185" i="3"/>
  <c r="AD185" i="3"/>
  <c r="AC185" i="3"/>
  <c r="AB185" i="3"/>
  <c r="Z185" i="3"/>
  <c r="J185" i="3"/>
  <c r="AL185" i="3" s="1"/>
  <c r="AU184" i="3" s="1"/>
  <c r="I185" i="3"/>
  <c r="I184" i="3" s="1"/>
  <c r="H185" i="3"/>
  <c r="AS184" i="3"/>
  <c r="J184" i="3"/>
  <c r="H184" i="3"/>
  <c r="BJ181" i="3"/>
  <c r="BH181" i="3"/>
  <c r="AD181" i="3" s="1"/>
  <c r="BF181" i="3"/>
  <c r="BD181" i="3"/>
  <c r="AX181" i="3"/>
  <c r="AW181" i="3"/>
  <c r="AP181" i="3"/>
  <c r="BI181" i="3" s="1"/>
  <c r="AE181" i="3" s="1"/>
  <c r="AO181" i="3"/>
  <c r="AK181" i="3"/>
  <c r="AT180" i="3" s="1"/>
  <c r="AJ181" i="3"/>
  <c r="AS180" i="3" s="1"/>
  <c r="AH181" i="3"/>
  <c r="AG181" i="3"/>
  <c r="AF181" i="3"/>
  <c r="AC181" i="3"/>
  <c r="AB181" i="3"/>
  <c r="Z181" i="3"/>
  <c r="J181" i="3"/>
  <c r="I181" i="3"/>
  <c r="I180" i="3" s="1"/>
  <c r="H181" i="3"/>
  <c r="H180" i="3" s="1"/>
  <c r="BJ179" i="3"/>
  <c r="BF179" i="3"/>
  <c r="BD179" i="3"/>
  <c r="AP179" i="3"/>
  <c r="AX179" i="3" s="1"/>
  <c r="AO179" i="3"/>
  <c r="AK179" i="3"/>
  <c r="AJ179" i="3"/>
  <c r="AH179" i="3"/>
  <c r="AG179" i="3"/>
  <c r="AF179" i="3"/>
  <c r="AE179" i="3"/>
  <c r="AD179" i="3"/>
  <c r="AC179" i="3"/>
  <c r="AB179" i="3"/>
  <c r="Z179" i="3"/>
  <c r="J179" i="3"/>
  <c r="AL179" i="3" s="1"/>
  <c r="BJ176" i="3"/>
  <c r="BI176" i="3"/>
  <c r="AE176" i="3" s="1"/>
  <c r="BF176" i="3"/>
  <c r="BD176" i="3"/>
  <c r="AP176" i="3"/>
  <c r="AX176" i="3" s="1"/>
  <c r="AO176" i="3"/>
  <c r="BH176" i="3" s="1"/>
  <c r="AD176" i="3" s="1"/>
  <c r="AL176" i="3"/>
  <c r="AK176" i="3"/>
  <c r="AJ176" i="3"/>
  <c r="AH176" i="3"/>
  <c r="AG176" i="3"/>
  <c r="AF176" i="3"/>
  <c r="AC176" i="3"/>
  <c r="AB176" i="3"/>
  <c r="Z176" i="3"/>
  <c r="J176" i="3"/>
  <c r="I176" i="3"/>
  <c r="BJ173" i="3"/>
  <c r="BI173" i="3"/>
  <c r="BH173" i="3"/>
  <c r="AD173" i="3" s="1"/>
  <c r="BF173" i="3"/>
  <c r="BD173" i="3"/>
  <c r="AX173" i="3"/>
  <c r="BC173" i="3" s="1"/>
  <c r="AW173" i="3"/>
  <c r="AP173" i="3"/>
  <c r="AO173" i="3"/>
  <c r="AK173" i="3"/>
  <c r="AJ173" i="3"/>
  <c r="AH173" i="3"/>
  <c r="AG173" i="3"/>
  <c r="AF173" i="3"/>
  <c r="AE173" i="3"/>
  <c r="AC173" i="3"/>
  <c r="AB173" i="3"/>
  <c r="Z173" i="3"/>
  <c r="J173" i="3"/>
  <c r="AL173" i="3" s="1"/>
  <c r="I173" i="3"/>
  <c r="H173" i="3"/>
  <c r="BJ170" i="3"/>
  <c r="BF170" i="3"/>
  <c r="BD170" i="3"/>
  <c r="AP170" i="3"/>
  <c r="AO170" i="3"/>
  <c r="AK170" i="3"/>
  <c r="AJ170" i="3"/>
  <c r="AS157" i="3" s="1"/>
  <c r="AH170" i="3"/>
  <c r="AG170" i="3"/>
  <c r="AF170" i="3"/>
  <c r="AC170" i="3"/>
  <c r="AB170" i="3"/>
  <c r="Z170" i="3"/>
  <c r="J170" i="3"/>
  <c r="AL170" i="3" s="1"/>
  <c r="BJ167" i="3"/>
  <c r="BI167" i="3"/>
  <c r="AE167" i="3" s="1"/>
  <c r="BF167" i="3"/>
  <c r="BD167" i="3"/>
  <c r="AX167" i="3"/>
  <c r="AP167" i="3"/>
  <c r="I167" i="3" s="1"/>
  <c r="AO167" i="3"/>
  <c r="AK167" i="3"/>
  <c r="AJ167" i="3"/>
  <c r="AH167" i="3"/>
  <c r="AG167" i="3"/>
  <c r="AF167" i="3"/>
  <c r="AC167" i="3"/>
  <c r="AB167" i="3"/>
  <c r="Z167" i="3"/>
  <c r="J167" i="3"/>
  <c r="AL167" i="3" s="1"/>
  <c r="BJ164" i="3"/>
  <c r="BI164" i="3"/>
  <c r="BF164" i="3"/>
  <c r="BD164" i="3"/>
  <c r="AX164" i="3"/>
  <c r="AW164" i="3"/>
  <c r="BC164" i="3" s="1"/>
  <c r="AV164" i="3"/>
  <c r="AP164" i="3"/>
  <c r="AO164" i="3"/>
  <c r="BH164" i="3" s="1"/>
  <c r="AD164" i="3" s="1"/>
  <c r="AL164" i="3"/>
  <c r="AK164" i="3"/>
  <c r="AT157" i="3" s="1"/>
  <c r="AJ164" i="3"/>
  <c r="AH164" i="3"/>
  <c r="AG164" i="3"/>
  <c r="AF164" i="3"/>
  <c r="AE164" i="3"/>
  <c r="AC164" i="3"/>
  <c r="AB164" i="3"/>
  <c r="Z164" i="3"/>
  <c r="J164" i="3"/>
  <c r="I164" i="3"/>
  <c r="H164" i="3"/>
  <c r="BJ161" i="3"/>
  <c r="BI161" i="3"/>
  <c r="BH161" i="3"/>
  <c r="BF161" i="3"/>
  <c r="BD161" i="3"/>
  <c r="AP161" i="3"/>
  <c r="AX161" i="3" s="1"/>
  <c r="AV161" i="3" s="1"/>
  <c r="AO161" i="3"/>
  <c r="AW161" i="3" s="1"/>
  <c r="AL161" i="3"/>
  <c r="AK161" i="3"/>
  <c r="AJ161" i="3"/>
  <c r="AH161" i="3"/>
  <c r="AG161" i="3"/>
  <c r="AF161" i="3"/>
  <c r="AE161" i="3"/>
  <c r="AD161" i="3"/>
  <c r="AC161" i="3"/>
  <c r="AB161" i="3"/>
  <c r="Z161" i="3"/>
  <c r="J161" i="3"/>
  <c r="I161" i="3"/>
  <c r="H161" i="3"/>
  <c r="BJ158" i="3"/>
  <c r="BF158" i="3"/>
  <c r="BD158" i="3"/>
  <c r="AP158" i="3"/>
  <c r="AO158" i="3"/>
  <c r="AW158" i="3" s="1"/>
  <c r="AL158" i="3"/>
  <c r="AK158" i="3"/>
  <c r="AJ158" i="3"/>
  <c r="AH158" i="3"/>
  <c r="AG158" i="3"/>
  <c r="AF158" i="3"/>
  <c r="AC158" i="3"/>
  <c r="AB158" i="3"/>
  <c r="Z158" i="3"/>
  <c r="J158" i="3"/>
  <c r="BJ154" i="3"/>
  <c r="BF154" i="3"/>
  <c r="BD154" i="3"/>
  <c r="AX154" i="3"/>
  <c r="AP154" i="3"/>
  <c r="BI154" i="3" s="1"/>
  <c r="AO154" i="3"/>
  <c r="AK154" i="3"/>
  <c r="AJ154" i="3"/>
  <c r="AH154" i="3"/>
  <c r="AG154" i="3"/>
  <c r="AF154" i="3"/>
  <c r="AE154" i="3"/>
  <c r="AD154" i="3"/>
  <c r="AC154" i="3"/>
  <c r="Z154" i="3"/>
  <c r="J154" i="3"/>
  <c r="I154" i="3"/>
  <c r="BJ152" i="3"/>
  <c r="BI152" i="3"/>
  <c r="AC152" i="3" s="1"/>
  <c r="BF152" i="3"/>
  <c r="BD152" i="3"/>
  <c r="AP152" i="3"/>
  <c r="AX152" i="3" s="1"/>
  <c r="AO152" i="3"/>
  <c r="AL152" i="3"/>
  <c r="AK152" i="3"/>
  <c r="AJ152" i="3"/>
  <c r="AS151" i="3" s="1"/>
  <c r="AH152" i="3"/>
  <c r="AG152" i="3"/>
  <c r="AF152" i="3"/>
  <c r="AE152" i="3"/>
  <c r="AD152" i="3"/>
  <c r="Z152" i="3"/>
  <c r="J152" i="3"/>
  <c r="I152" i="3"/>
  <c r="AT151" i="3"/>
  <c r="BJ146" i="3"/>
  <c r="BI146" i="3"/>
  <c r="BF146" i="3"/>
  <c r="BD146" i="3"/>
  <c r="AX146" i="3"/>
  <c r="AP146" i="3"/>
  <c r="I146" i="3" s="1"/>
  <c r="I145" i="3" s="1"/>
  <c r="AO146" i="3"/>
  <c r="AL146" i="3"/>
  <c r="AU145" i="3" s="1"/>
  <c r="AK146" i="3"/>
  <c r="AJ146" i="3"/>
  <c r="AS145" i="3" s="1"/>
  <c r="AH146" i="3"/>
  <c r="AG146" i="3"/>
  <c r="AF146" i="3"/>
  <c r="AE146" i="3"/>
  <c r="AD146" i="3"/>
  <c r="AC146" i="3"/>
  <c r="Z146" i="3"/>
  <c r="J146" i="3"/>
  <c r="AT145" i="3"/>
  <c r="J145" i="3"/>
  <c r="BJ142" i="3"/>
  <c r="BH142" i="3"/>
  <c r="AB142" i="3" s="1"/>
  <c r="BF142" i="3"/>
  <c r="BD142" i="3"/>
  <c r="AW142" i="3"/>
  <c r="AP142" i="3"/>
  <c r="AO142" i="3"/>
  <c r="H142" i="3" s="1"/>
  <c r="AL142" i="3"/>
  <c r="AK142" i="3"/>
  <c r="AJ142" i="3"/>
  <c r="AH142" i="3"/>
  <c r="AG142" i="3"/>
  <c r="AF142" i="3"/>
  <c r="AE142" i="3"/>
  <c r="AD142" i="3"/>
  <c r="Z142" i="3"/>
  <c r="J142" i="3"/>
  <c r="BJ137" i="3"/>
  <c r="BH137" i="3"/>
  <c r="AB137" i="3" s="1"/>
  <c r="BF137" i="3"/>
  <c r="BD137" i="3"/>
  <c r="AW137" i="3"/>
  <c r="AP137" i="3"/>
  <c r="AO137" i="3"/>
  <c r="H137" i="3" s="1"/>
  <c r="AK137" i="3"/>
  <c r="AJ137" i="3"/>
  <c r="AH137" i="3"/>
  <c r="AG137" i="3"/>
  <c r="AF137" i="3"/>
  <c r="AE137" i="3"/>
  <c r="AD137" i="3"/>
  <c r="Z137" i="3"/>
  <c r="J137" i="3"/>
  <c r="J136" i="3" s="1"/>
  <c r="AT136" i="3"/>
  <c r="AS136" i="3"/>
  <c r="BJ130" i="3"/>
  <c r="BI130" i="3"/>
  <c r="BF130" i="3"/>
  <c r="BD130" i="3"/>
  <c r="AX130" i="3"/>
  <c r="AP130" i="3"/>
  <c r="AO130" i="3"/>
  <c r="AL130" i="3"/>
  <c r="AU129" i="3" s="1"/>
  <c r="AK130" i="3"/>
  <c r="AT129" i="3" s="1"/>
  <c r="AJ130" i="3"/>
  <c r="AH130" i="3"/>
  <c r="AG130" i="3"/>
  <c r="AF130" i="3"/>
  <c r="AE130" i="3"/>
  <c r="AD130" i="3"/>
  <c r="AC130" i="3"/>
  <c r="Z130" i="3"/>
  <c r="J130" i="3"/>
  <c r="I130" i="3"/>
  <c r="AS129" i="3"/>
  <c r="J129" i="3"/>
  <c r="I129" i="3"/>
  <c r="BJ127" i="3"/>
  <c r="BH127" i="3"/>
  <c r="BF127" i="3"/>
  <c r="BD127" i="3"/>
  <c r="AW127" i="3"/>
  <c r="AP127" i="3"/>
  <c r="AO127" i="3"/>
  <c r="AL127" i="3"/>
  <c r="AK127" i="3"/>
  <c r="AJ127" i="3"/>
  <c r="AH127" i="3"/>
  <c r="AG127" i="3"/>
  <c r="AF127" i="3"/>
  <c r="AE127" i="3"/>
  <c r="AD127" i="3"/>
  <c r="AB127" i="3"/>
  <c r="Z127" i="3"/>
  <c r="J127" i="3"/>
  <c r="H127" i="3"/>
  <c r="BJ125" i="3"/>
  <c r="BH125" i="3"/>
  <c r="BF125" i="3"/>
  <c r="BD125" i="3"/>
  <c r="AW125" i="3"/>
  <c r="AP125" i="3"/>
  <c r="AO125" i="3"/>
  <c r="AL125" i="3"/>
  <c r="AK125" i="3"/>
  <c r="AJ125" i="3"/>
  <c r="AH125" i="3"/>
  <c r="AG125" i="3"/>
  <c r="AF125" i="3"/>
  <c r="AE125" i="3"/>
  <c r="AD125" i="3"/>
  <c r="AB125" i="3"/>
  <c r="Z125" i="3"/>
  <c r="J125" i="3"/>
  <c r="H125" i="3"/>
  <c r="BJ123" i="3"/>
  <c r="BF123" i="3"/>
  <c r="BD123" i="3"/>
  <c r="AP123" i="3"/>
  <c r="AO123" i="3"/>
  <c r="AK123" i="3"/>
  <c r="AJ123" i="3"/>
  <c r="AH123" i="3"/>
  <c r="AG123" i="3"/>
  <c r="AF123" i="3"/>
  <c r="AE123" i="3"/>
  <c r="AD123" i="3"/>
  <c r="Z123" i="3"/>
  <c r="J123" i="3"/>
  <c r="AL123" i="3" s="1"/>
  <c r="BJ121" i="3"/>
  <c r="BI121" i="3"/>
  <c r="AC121" i="3" s="1"/>
  <c r="BH121" i="3"/>
  <c r="AB121" i="3" s="1"/>
  <c r="BF121" i="3"/>
  <c r="BD121" i="3"/>
  <c r="AW121" i="3"/>
  <c r="AP121" i="3"/>
  <c r="AX121" i="3" s="1"/>
  <c r="AO121" i="3"/>
  <c r="H121" i="3" s="1"/>
  <c r="AL121" i="3"/>
  <c r="AK121" i="3"/>
  <c r="AJ121" i="3"/>
  <c r="AS116" i="3" s="1"/>
  <c r="AH121" i="3"/>
  <c r="AG121" i="3"/>
  <c r="AF121" i="3"/>
  <c r="AE121" i="3"/>
  <c r="AD121" i="3"/>
  <c r="Z121" i="3"/>
  <c r="J121" i="3"/>
  <c r="I121" i="3"/>
  <c r="BJ119" i="3"/>
  <c r="BI119" i="3"/>
  <c r="BF119" i="3"/>
  <c r="BD119" i="3"/>
  <c r="BC119" i="3"/>
  <c r="AW119" i="3"/>
  <c r="AP119" i="3"/>
  <c r="AX119" i="3" s="1"/>
  <c r="AV119" i="3" s="1"/>
  <c r="AO119" i="3"/>
  <c r="BH119" i="3" s="1"/>
  <c r="AB119" i="3" s="1"/>
  <c r="AL119" i="3"/>
  <c r="AK119" i="3"/>
  <c r="AJ119" i="3"/>
  <c r="AH119" i="3"/>
  <c r="AG119" i="3"/>
  <c r="AF119" i="3"/>
  <c r="AE119" i="3"/>
  <c r="AD119" i="3"/>
  <c r="AC119" i="3"/>
  <c r="Z119" i="3"/>
  <c r="J119" i="3"/>
  <c r="I119" i="3"/>
  <c r="H119" i="3"/>
  <c r="BJ117" i="3"/>
  <c r="BI117" i="3"/>
  <c r="AC117" i="3" s="1"/>
  <c r="BF117" i="3"/>
  <c r="BD117" i="3"/>
  <c r="AP117" i="3"/>
  <c r="AX117" i="3" s="1"/>
  <c r="AO117" i="3"/>
  <c r="AL117" i="3"/>
  <c r="AK117" i="3"/>
  <c r="AJ117" i="3"/>
  <c r="AH117" i="3"/>
  <c r="AG117" i="3"/>
  <c r="AF117" i="3"/>
  <c r="AE117" i="3"/>
  <c r="AD117" i="3"/>
  <c r="Z117" i="3"/>
  <c r="J117" i="3"/>
  <c r="I117" i="3"/>
  <c r="J116" i="3"/>
  <c r="BJ114" i="3"/>
  <c r="BH114" i="3"/>
  <c r="AB114" i="3" s="1"/>
  <c r="BF114" i="3"/>
  <c r="BD114" i="3"/>
  <c r="AP114" i="3"/>
  <c r="AO114" i="3"/>
  <c r="AW114" i="3" s="1"/>
  <c r="AL114" i="3"/>
  <c r="AK114" i="3"/>
  <c r="AJ114" i="3"/>
  <c r="AH114" i="3"/>
  <c r="AG114" i="3"/>
  <c r="AF114" i="3"/>
  <c r="AE114" i="3"/>
  <c r="AD114" i="3"/>
  <c r="Z114" i="3"/>
  <c r="J114" i="3"/>
  <c r="H114" i="3"/>
  <c r="BJ112" i="3"/>
  <c r="BH112" i="3"/>
  <c r="AB112" i="3" s="1"/>
  <c r="BF112" i="3"/>
  <c r="BD112" i="3"/>
  <c r="AX112" i="3"/>
  <c r="AW112" i="3"/>
  <c r="AP112" i="3"/>
  <c r="BI112" i="3" s="1"/>
  <c r="AO112" i="3"/>
  <c r="AK112" i="3"/>
  <c r="AJ112" i="3"/>
  <c r="AH112" i="3"/>
  <c r="AG112" i="3"/>
  <c r="AF112" i="3"/>
  <c r="AE112" i="3"/>
  <c r="AD112" i="3"/>
  <c r="AC112" i="3"/>
  <c r="Z112" i="3"/>
  <c r="J112" i="3"/>
  <c r="AL112" i="3" s="1"/>
  <c r="I112" i="3"/>
  <c r="H112" i="3"/>
  <c r="BJ109" i="3"/>
  <c r="BF109" i="3"/>
  <c r="BD109" i="3"/>
  <c r="AW109" i="3"/>
  <c r="AP109" i="3"/>
  <c r="AO109" i="3"/>
  <c r="AL109" i="3"/>
  <c r="AK109" i="3"/>
  <c r="AJ109" i="3"/>
  <c r="AH109" i="3"/>
  <c r="AG109" i="3"/>
  <c r="AF109" i="3"/>
  <c r="AE109" i="3"/>
  <c r="AD109" i="3"/>
  <c r="Z109" i="3"/>
  <c r="J109" i="3"/>
  <c r="BJ107" i="3"/>
  <c r="BI107" i="3"/>
  <c r="AC107" i="3" s="1"/>
  <c r="BH107" i="3"/>
  <c r="BF107" i="3"/>
  <c r="BD107" i="3"/>
  <c r="AX107" i="3"/>
  <c r="AW107" i="3"/>
  <c r="AP107" i="3"/>
  <c r="AO107" i="3"/>
  <c r="AL107" i="3"/>
  <c r="AK107" i="3"/>
  <c r="AJ107" i="3"/>
  <c r="AH107" i="3"/>
  <c r="AG107" i="3"/>
  <c r="AF107" i="3"/>
  <c r="AE107" i="3"/>
  <c r="AD107" i="3"/>
  <c r="AB107" i="3"/>
  <c r="Z107" i="3"/>
  <c r="J107" i="3"/>
  <c r="I107" i="3"/>
  <c r="H107" i="3"/>
  <c r="BJ105" i="3"/>
  <c r="BH105" i="3"/>
  <c r="BF105" i="3"/>
  <c r="BD105" i="3"/>
  <c r="AW105" i="3"/>
  <c r="AP105" i="3"/>
  <c r="I105" i="3" s="1"/>
  <c r="AO105" i="3"/>
  <c r="AL105" i="3"/>
  <c r="AK105" i="3"/>
  <c r="AJ105" i="3"/>
  <c r="AH105" i="3"/>
  <c r="AG105" i="3"/>
  <c r="AF105" i="3"/>
  <c r="AE105" i="3"/>
  <c r="AD105" i="3"/>
  <c r="AB105" i="3"/>
  <c r="Z105" i="3"/>
  <c r="J105" i="3"/>
  <c r="H105" i="3"/>
  <c r="BJ103" i="3"/>
  <c r="BH103" i="3"/>
  <c r="AB103" i="3" s="1"/>
  <c r="BF103" i="3"/>
  <c r="BD103" i="3"/>
  <c r="AW103" i="3"/>
  <c r="AP103" i="3"/>
  <c r="AO103" i="3"/>
  <c r="AL103" i="3"/>
  <c r="AK103" i="3"/>
  <c r="AJ103" i="3"/>
  <c r="AH103" i="3"/>
  <c r="AG103" i="3"/>
  <c r="AF103" i="3"/>
  <c r="AE103" i="3"/>
  <c r="AD103" i="3"/>
  <c r="Z103" i="3"/>
  <c r="J103" i="3"/>
  <c r="H103" i="3"/>
  <c r="BJ101" i="3"/>
  <c r="BF101" i="3"/>
  <c r="BD101" i="3"/>
  <c r="AP101" i="3"/>
  <c r="BI101" i="3" s="1"/>
  <c r="AC101" i="3" s="1"/>
  <c r="AO101" i="3"/>
  <c r="AL101" i="3"/>
  <c r="AK101" i="3"/>
  <c r="AT98" i="3" s="1"/>
  <c r="AJ101" i="3"/>
  <c r="AH101" i="3"/>
  <c r="AG101" i="3"/>
  <c r="AF101" i="3"/>
  <c r="AE101" i="3"/>
  <c r="AD101" i="3"/>
  <c r="Z101" i="3"/>
  <c r="J101" i="3"/>
  <c r="BJ99" i="3"/>
  <c r="BF99" i="3"/>
  <c r="BD99" i="3"/>
  <c r="AW99" i="3"/>
  <c r="AP99" i="3"/>
  <c r="AO99" i="3"/>
  <c r="AL99" i="3"/>
  <c r="AK99" i="3"/>
  <c r="AJ99" i="3"/>
  <c r="AS98" i="3" s="1"/>
  <c r="AH99" i="3"/>
  <c r="AG99" i="3"/>
  <c r="AF99" i="3"/>
  <c r="AE99" i="3"/>
  <c r="AD99" i="3"/>
  <c r="Z99" i="3"/>
  <c r="J99" i="3"/>
  <c r="BJ96" i="3"/>
  <c r="BI96" i="3"/>
  <c r="BF96" i="3"/>
  <c r="BD96" i="3"/>
  <c r="AP96" i="3"/>
  <c r="AX96" i="3" s="1"/>
  <c r="AO96" i="3"/>
  <c r="AL96" i="3"/>
  <c r="AK96" i="3"/>
  <c r="AJ96" i="3"/>
  <c r="AS92" i="3" s="1"/>
  <c r="AH96" i="3"/>
  <c r="AG96" i="3"/>
  <c r="AF96" i="3"/>
  <c r="AE96" i="3"/>
  <c r="AD96" i="3"/>
  <c r="AC96" i="3"/>
  <c r="Z96" i="3"/>
  <c r="J96" i="3"/>
  <c r="BJ93" i="3"/>
  <c r="BH93" i="3"/>
  <c r="BF93" i="3"/>
  <c r="BD93" i="3"/>
  <c r="AP93" i="3"/>
  <c r="I93" i="3" s="1"/>
  <c r="AO93" i="3"/>
  <c r="AW93" i="3" s="1"/>
  <c r="AK93" i="3"/>
  <c r="AJ93" i="3"/>
  <c r="AH93" i="3"/>
  <c r="AG93" i="3"/>
  <c r="AF93" i="3"/>
  <c r="AE93" i="3"/>
  <c r="AD93" i="3"/>
  <c r="AB93" i="3"/>
  <c r="Z93" i="3"/>
  <c r="J93" i="3"/>
  <c r="H93" i="3"/>
  <c r="AT92" i="3"/>
  <c r="BJ90" i="3"/>
  <c r="BF90" i="3"/>
  <c r="BD90" i="3"/>
  <c r="AP90" i="3"/>
  <c r="AO90" i="3"/>
  <c r="AK90" i="3"/>
  <c r="AJ90" i="3"/>
  <c r="AH90" i="3"/>
  <c r="AG90" i="3"/>
  <c r="AF90" i="3"/>
  <c r="AE90" i="3"/>
  <c r="AD90" i="3"/>
  <c r="Z90" i="3"/>
  <c r="J90" i="3"/>
  <c r="AL90" i="3" s="1"/>
  <c r="BJ87" i="3"/>
  <c r="BI87" i="3"/>
  <c r="AC87" i="3" s="1"/>
  <c r="BH87" i="3"/>
  <c r="AB87" i="3" s="1"/>
  <c r="BF87" i="3"/>
  <c r="BD87" i="3"/>
  <c r="AW87" i="3"/>
  <c r="AP87" i="3"/>
  <c r="AX87" i="3" s="1"/>
  <c r="AO87" i="3"/>
  <c r="H87" i="3" s="1"/>
  <c r="AL87" i="3"/>
  <c r="AK87" i="3"/>
  <c r="AJ87" i="3"/>
  <c r="AH87" i="3"/>
  <c r="AG87" i="3"/>
  <c r="AF87" i="3"/>
  <c r="AE87" i="3"/>
  <c r="AD87" i="3"/>
  <c r="Z87" i="3"/>
  <c r="J87" i="3"/>
  <c r="I87" i="3"/>
  <c r="BJ85" i="3"/>
  <c r="BI85" i="3"/>
  <c r="BH85" i="3"/>
  <c r="BF85" i="3"/>
  <c r="BD85" i="3"/>
  <c r="AW85" i="3"/>
  <c r="AP85" i="3"/>
  <c r="AO85" i="3"/>
  <c r="AL85" i="3"/>
  <c r="AK85" i="3"/>
  <c r="AJ85" i="3"/>
  <c r="AH85" i="3"/>
  <c r="AG85" i="3"/>
  <c r="AF85" i="3"/>
  <c r="AE85" i="3"/>
  <c r="AD85" i="3"/>
  <c r="AC85" i="3"/>
  <c r="AB85" i="3"/>
  <c r="Z85" i="3"/>
  <c r="J85" i="3"/>
  <c r="H85" i="3"/>
  <c r="BJ83" i="3"/>
  <c r="BF83" i="3"/>
  <c r="BD83" i="3"/>
  <c r="AP83" i="3"/>
  <c r="AO83" i="3"/>
  <c r="AL83" i="3"/>
  <c r="AK83" i="3"/>
  <c r="AJ83" i="3"/>
  <c r="AH83" i="3"/>
  <c r="AG83" i="3"/>
  <c r="AF83" i="3"/>
  <c r="AE83" i="3"/>
  <c r="AD83" i="3"/>
  <c r="Z83" i="3"/>
  <c r="J83" i="3"/>
  <c r="BJ81" i="3"/>
  <c r="BI81" i="3"/>
  <c r="BH81" i="3"/>
  <c r="AB81" i="3" s="1"/>
  <c r="BF81" i="3"/>
  <c r="BD81" i="3"/>
  <c r="AX81" i="3"/>
  <c r="BC81" i="3" s="1"/>
  <c r="AW81" i="3"/>
  <c r="AP81" i="3"/>
  <c r="AO81" i="3"/>
  <c r="AK81" i="3"/>
  <c r="AJ81" i="3"/>
  <c r="AH81" i="3"/>
  <c r="AG81" i="3"/>
  <c r="AF81" i="3"/>
  <c r="AE81" i="3"/>
  <c r="AD81" i="3"/>
  <c r="AC81" i="3"/>
  <c r="Z81" i="3"/>
  <c r="J81" i="3"/>
  <c r="I81" i="3"/>
  <c r="H81" i="3"/>
  <c r="BJ78" i="3"/>
  <c r="BF78" i="3"/>
  <c r="BD78" i="3"/>
  <c r="AX78" i="3"/>
  <c r="AP78" i="3"/>
  <c r="BI78" i="3" s="1"/>
  <c r="AO78" i="3"/>
  <c r="AK78" i="3"/>
  <c r="AJ78" i="3"/>
  <c r="AH78" i="3"/>
  <c r="AG78" i="3"/>
  <c r="AF78" i="3"/>
  <c r="AE78" i="3"/>
  <c r="AD78" i="3"/>
  <c r="AC78" i="3"/>
  <c r="Z78" i="3"/>
  <c r="J78" i="3"/>
  <c r="AL78" i="3" s="1"/>
  <c r="I78" i="3"/>
  <c r="H78" i="3"/>
  <c r="BJ71" i="3"/>
  <c r="BI71" i="3"/>
  <c r="BF71" i="3"/>
  <c r="BD71" i="3"/>
  <c r="AX71" i="3"/>
  <c r="AP71" i="3"/>
  <c r="AO71" i="3"/>
  <c r="AK71" i="3"/>
  <c r="AJ71" i="3"/>
  <c r="AS70" i="3" s="1"/>
  <c r="AH71" i="3"/>
  <c r="AG71" i="3"/>
  <c r="AF71" i="3"/>
  <c r="AE71" i="3"/>
  <c r="AD71" i="3"/>
  <c r="AC71" i="3"/>
  <c r="Z71" i="3"/>
  <c r="J71" i="3"/>
  <c r="AL71" i="3" s="1"/>
  <c r="I71" i="3"/>
  <c r="BJ67" i="3"/>
  <c r="BI67" i="3"/>
  <c r="AC67" i="3" s="1"/>
  <c r="BH67" i="3"/>
  <c r="AB67" i="3" s="1"/>
  <c r="BF67" i="3"/>
  <c r="BD67" i="3"/>
  <c r="AX67" i="3"/>
  <c r="AW67" i="3"/>
  <c r="AP67" i="3"/>
  <c r="AO67" i="3"/>
  <c r="AK67" i="3"/>
  <c r="AJ67" i="3"/>
  <c r="AH67" i="3"/>
  <c r="AG67" i="3"/>
  <c r="AF67" i="3"/>
  <c r="AE67" i="3"/>
  <c r="AD67" i="3"/>
  <c r="Z67" i="3"/>
  <c r="J67" i="3"/>
  <c r="AL67" i="3" s="1"/>
  <c r="I67" i="3"/>
  <c r="H67" i="3"/>
  <c r="BJ65" i="3"/>
  <c r="BH65" i="3"/>
  <c r="BF65" i="3"/>
  <c r="BD65" i="3"/>
  <c r="AW65" i="3"/>
  <c r="AP65" i="3"/>
  <c r="BI65" i="3" s="1"/>
  <c r="AC65" i="3" s="1"/>
  <c r="AO65" i="3"/>
  <c r="AL65" i="3"/>
  <c r="AK65" i="3"/>
  <c r="AJ65" i="3"/>
  <c r="AH65" i="3"/>
  <c r="AG65" i="3"/>
  <c r="AF65" i="3"/>
  <c r="AE65" i="3"/>
  <c r="AD65" i="3"/>
  <c r="AB65" i="3"/>
  <c r="Z65" i="3"/>
  <c r="J65" i="3"/>
  <c r="H65" i="3"/>
  <c r="BJ63" i="3"/>
  <c r="BH63" i="3"/>
  <c r="AB63" i="3" s="1"/>
  <c r="BF63" i="3"/>
  <c r="BD63" i="3"/>
  <c r="AP63" i="3"/>
  <c r="AO63" i="3"/>
  <c r="AW63" i="3" s="1"/>
  <c r="AL63" i="3"/>
  <c r="AK63" i="3"/>
  <c r="AJ63" i="3"/>
  <c r="AH63" i="3"/>
  <c r="AG63" i="3"/>
  <c r="AF63" i="3"/>
  <c r="AE63" i="3"/>
  <c r="AD63" i="3"/>
  <c r="Z63" i="3"/>
  <c r="J63" i="3"/>
  <c r="BJ61" i="3"/>
  <c r="BH61" i="3"/>
  <c r="AB61" i="3" s="1"/>
  <c r="BF61" i="3"/>
  <c r="BD61" i="3"/>
  <c r="AX61" i="3"/>
  <c r="AW61" i="3"/>
  <c r="AP61" i="3"/>
  <c r="BI61" i="3" s="1"/>
  <c r="AO61" i="3"/>
  <c r="AK61" i="3"/>
  <c r="AJ61" i="3"/>
  <c r="AH61" i="3"/>
  <c r="AG61" i="3"/>
  <c r="AF61" i="3"/>
  <c r="AE61" i="3"/>
  <c r="AD61" i="3"/>
  <c r="AC61" i="3"/>
  <c r="Z61" i="3"/>
  <c r="J61" i="3"/>
  <c r="AL61" i="3" s="1"/>
  <c r="I61" i="3"/>
  <c r="H61" i="3"/>
  <c r="BJ59" i="3"/>
  <c r="BI59" i="3"/>
  <c r="AC59" i="3" s="1"/>
  <c r="BF59" i="3"/>
  <c r="BD59" i="3"/>
  <c r="AW59" i="3"/>
  <c r="AP59" i="3"/>
  <c r="AX59" i="3" s="1"/>
  <c r="AO59" i="3"/>
  <c r="BH59" i="3" s="1"/>
  <c r="AB59" i="3" s="1"/>
  <c r="AL59" i="3"/>
  <c r="AK59" i="3"/>
  <c r="AJ59" i="3"/>
  <c r="AH59" i="3"/>
  <c r="AG59" i="3"/>
  <c r="AF59" i="3"/>
  <c r="AE59" i="3"/>
  <c r="AD59" i="3"/>
  <c r="Z59" i="3"/>
  <c r="J59" i="3"/>
  <c r="I59" i="3"/>
  <c r="BJ56" i="3"/>
  <c r="BI56" i="3"/>
  <c r="AC56" i="3" s="1"/>
  <c r="BF56" i="3"/>
  <c r="BD56" i="3"/>
  <c r="AP56" i="3"/>
  <c r="I56" i="3" s="1"/>
  <c r="AO56" i="3"/>
  <c r="AK56" i="3"/>
  <c r="AJ56" i="3"/>
  <c r="AH56" i="3"/>
  <c r="AG56" i="3"/>
  <c r="AF56" i="3"/>
  <c r="AE56" i="3"/>
  <c r="AD56" i="3"/>
  <c r="Z56" i="3"/>
  <c r="J56" i="3"/>
  <c r="AL56" i="3" s="1"/>
  <c r="BJ53" i="3"/>
  <c r="BF53" i="3"/>
  <c r="BD53" i="3"/>
  <c r="AW53" i="3"/>
  <c r="AP53" i="3"/>
  <c r="AO53" i="3"/>
  <c r="AL53" i="3"/>
  <c r="AK53" i="3"/>
  <c r="AJ53" i="3"/>
  <c r="AH53" i="3"/>
  <c r="AG53" i="3"/>
  <c r="AF53" i="3"/>
  <c r="AE53" i="3"/>
  <c r="AD53" i="3"/>
  <c r="Z53" i="3"/>
  <c r="J53" i="3"/>
  <c r="BJ50" i="3"/>
  <c r="BI50" i="3"/>
  <c r="BH50" i="3"/>
  <c r="BF50" i="3"/>
  <c r="BD50" i="3"/>
  <c r="BC50" i="3"/>
  <c r="AX50" i="3"/>
  <c r="AW50" i="3"/>
  <c r="AV50" i="3"/>
  <c r="AP50" i="3"/>
  <c r="AO50" i="3"/>
  <c r="AK50" i="3"/>
  <c r="AJ50" i="3"/>
  <c r="AH50" i="3"/>
  <c r="AG50" i="3"/>
  <c r="AF50" i="3"/>
  <c r="AE50" i="3"/>
  <c r="AD50" i="3"/>
  <c r="AC50" i="3"/>
  <c r="AB50" i="3"/>
  <c r="Z50" i="3"/>
  <c r="J50" i="3"/>
  <c r="AL50" i="3" s="1"/>
  <c r="I50" i="3"/>
  <c r="H50" i="3"/>
  <c r="BJ47" i="3"/>
  <c r="BF47" i="3"/>
  <c r="BD47" i="3"/>
  <c r="AP47" i="3"/>
  <c r="AO47" i="3"/>
  <c r="AL47" i="3"/>
  <c r="AK47" i="3"/>
  <c r="AT46" i="3" s="1"/>
  <c r="AJ47" i="3"/>
  <c r="AS46" i="3" s="1"/>
  <c r="AH47" i="3"/>
  <c r="AG47" i="3"/>
  <c r="AF47" i="3"/>
  <c r="AE47" i="3"/>
  <c r="AD47" i="3"/>
  <c r="Z47" i="3"/>
  <c r="J47" i="3"/>
  <c r="J46" i="3"/>
  <c r="BJ44" i="3"/>
  <c r="BF44" i="3"/>
  <c r="BD44" i="3"/>
  <c r="AX44" i="3"/>
  <c r="AP44" i="3"/>
  <c r="AO44" i="3"/>
  <c r="AK44" i="3"/>
  <c r="AJ44" i="3"/>
  <c r="AH44" i="3"/>
  <c r="AG44" i="3"/>
  <c r="AF44" i="3"/>
  <c r="AE44" i="3"/>
  <c r="AD44" i="3"/>
  <c r="Z44" i="3"/>
  <c r="J44" i="3"/>
  <c r="AL44" i="3" s="1"/>
  <c r="H44" i="3"/>
  <c r="BJ41" i="3"/>
  <c r="BI41" i="3"/>
  <c r="AC41" i="3" s="1"/>
  <c r="BF41" i="3"/>
  <c r="BD41" i="3"/>
  <c r="AX41" i="3"/>
  <c r="AW41" i="3"/>
  <c r="AP41" i="3"/>
  <c r="AO41" i="3"/>
  <c r="AL41" i="3"/>
  <c r="AK41" i="3"/>
  <c r="AJ41" i="3"/>
  <c r="AH41" i="3"/>
  <c r="AG41" i="3"/>
  <c r="AF41" i="3"/>
  <c r="AE41" i="3"/>
  <c r="AD41" i="3"/>
  <c r="Z41" i="3"/>
  <c r="J41" i="3"/>
  <c r="I41" i="3"/>
  <c r="BJ39" i="3"/>
  <c r="BI39" i="3"/>
  <c r="AC39" i="3" s="1"/>
  <c r="BH39" i="3"/>
  <c r="AB39" i="3" s="1"/>
  <c r="BF39" i="3"/>
  <c r="BD39" i="3"/>
  <c r="AX39" i="3"/>
  <c r="AV39" i="3" s="1"/>
  <c r="AW39" i="3"/>
  <c r="AP39" i="3"/>
  <c r="AO39" i="3"/>
  <c r="AK39" i="3"/>
  <c r="AJ39" i="3"/>
  <c r="AS38" i="3" s="1"/>
  <c r="AH39" i="3"/>
  <c r="AG39" i="3"/>
  <c r="AF39" i="3"/>
  <c r="AE39" i="3"/>
  <c r="AD39" i="3"/>
  <c r="Z39" i="3"/>
  <c r="J39" i="3"/>
  <c r="I39" i="3"/>
  <c r="H39" i="3"/>
  <c r="AT38" i="3"/>
  <c r="BJ34" i="3"/>
  <c r="BH34" i="3"/>
  <c r="BF34" i="3"/>
  <c r="BD34" i="3"/>
  <c r="AW34" i="3"/>
  <c r="AP34" i="3"/>
  <c r="AO34" i="3"/>
  <c r="AL34" i="3"/>
  <c r="AK34" i="3"/>
  <c r="AJ34" i="3"/>
  <c r="AH34" i="3"/>
  <c r="AG34" i="3"/>
  <c r="AF34" i="3"/>
  <c r="AE34" i="3"/>
  <c r="AD34" i="3"/>
  <c r="AB34" i="3"/>
  <c r="Z34" i="3"/>
  <c r="J34" i="3"/>
  <c r="H34" i="3"/>
  <c r="BJ31" i="3"/>
  <c r="BF31" i="3"/>
  <c r="BD31" i="3"/>
  <c r="AP31" i="3"/>
  <c r="I31" i="3" s="1"/>
  <c r="AO31" i="3"/>
  <c r="AW31" i="3" s="1"/>
  <c r="AL31" i="3"/>
  <c r="AU30" i="3" s="1"/>
  <c r="AK31" i="3"/>
  <c r="AT30" i="3" s="1"/>
  <c r="AJ31" i="3"/>
  <c r="AH31" i="3"/>
  <c r="AG31" i="3"/>
  <c r="AF31" i="3"/>
  <c r="AE31" i="3"/>
  <c r="AD31" i="3"/>
  <c r="Z31" i="3"/>
  <c r="J31" i="3"/>
  <c r="AS30" i="3"/>
  <c r="J30" i="3"/>
  <c r="BJ26" i="3"/>
  <c r="BI26" i="3"/>
  <c r="AC26" i="3" s="1"/>
  <c r="BH26" i="3"/>
  <c r="AB26" i="3" s="1"/>
  <c r="BF26" i="3"/>
  <c r="BD26" i="3"/>
  <c r="AX26" i="3"/>
  <c r="AW26" i="3"/>
  <c r="AV26" i="3" s="1"/>
  <c r="AP26" i="3"/>
  <c r="AO26" i="3"/>
  <c r="H26" i="3" s="1"/>
  <c r="H25" i="3" s="1"/>
  <c r="AK26" i="3"/>
  <c r="AT25" i="3" s="1"/>
  <c r="AJ26" i="3"/>
  <c r="AS25" i="3" s="1"/>
  <c r="AH26" i="3"/>
  <c r="AG26" i="3"/>
  <c r="AF26" i="3"/>
  <c r="AE26" i="3"/>
  <c r="AD26" i="3"/>
  <c r="Z26" i="3"/>
  <c r="J26" i="3"/>
  <c r="AL26" i="3" s="1"/>
  <c r="AU25" i="3" s="1"/>
  <c r="I26" i="3"/>
  <c r="I25" i="3" s="1"/>
  <c r="BJ23" i="3"/>
  <c r="BI23" i="3"/>
  <c r="BH23" i="3"/>
  <c r="AB23" i="3" s="1"/>
  <c r="BF23" i="3"/>
  <c r="BD23" i="3"/>
  <c r="AX23" i="3"/>
  <c r="AW23" i="3"/>
  <c r="BC23" i="3" s="1"/>
  <c r="AV23" i="3"/>
  <c r="AP23" i="3"/>
  <c r="AO23" i="3"/>
  <c r="AK23" i="3"/>
  <c r="AJ23" i="3"/>
  <c r="AH23" i="3"/>
  <c r="AG23" i="3"/>
  <c r="AF23" i="3"/>
  <c r="AE23" i="3"/>
  <c r="AD23" i="3"/>
  <c r="AC23" i="3"/>
  <c r="Z23" i="3"/>
  <c r="J23" i="3"/>
  <c r="AL23" i="3" s="1"/>
  <c r="I23" i="3"/>
  <c r="H23" i="3"/>
  <c r="BJ21" i="3"/>
  <c r="BF21" i="3"/>
  <c r="BD21" i="3"/>
  <c r="AP21" i="3"/>
  <c r="AX21" i="3" s="1"/>
  <c r="AO21" i="3"/>
  <c r="AL21" i="3"/>
  <c r="AK21" i="3"/>
  <c r="C28" i="1" s="1"/>
  <c r="F28" i="1" s="1"/>
  <c r="AJ21" i="3"/>
  <c r="AS16" i="3" s="1"/>
  <c r="AH21" i="3"/>
  <c r="AG21" i="3"/>
  <c r="AF21" i="3"/>
  <c r="AE21" i="3"/>
  <c r="AD21" i="3"/>
  <c r="Z21" i="3"/>
  <c r="J21" i="3"/>
  <c r="BJ19" i="3"/>
  <c r="BI19" i="3"/>
  <c r="BH19" i="3"/>
  <c r="BF19" i="3"/>
  <c r="BD19" i="3"/>
  <c r="AX19" i="3"/>
  <c r="BC19" i="3" s="1"/>
  <c r="AV19" i="3"/>
  <c r="AP19" i="3"/>
  <c r="I19" i="3" s="1"/>
  <c r="AO19" i="3"/>
  <c r="AW19" i="3" s="1"/>
  <c r="AK19" i="3"/>
  <c r="AJ19" i="3"/>
  <c r="AH19" i="3"/>
  <c r="AG19" i="3"/>
  <c r="AF19" i="3"/>
  <c r="AE19" i="3"/>
  <c r="AD19" i="3"/>
  <c r="AC19" i="3"/>
  <c r="AB19" i="3"/>
  <c r="Z19" i="3"/>
  <c r="J19" i="3"/>
  <c r="AL19" i="3" s="1"/>
  <c r="H19" i="3"/>
  <c r="BJ17" i="3"/>
  <c r="BF17" i="3"/>
  <c r="BD17" i="3"/>
  <c r="AP17" i="3"/>
  <c r="BI17" i="3" s="1"/>
  <c r="AC17" i="3" s="1"/>
  <c r="AO17" i="3"/>
  <c r="AL17" i="3"/>
  <c r="AK17" i="3"/>
  <c r="AJ17" i="3"/>
  <c r="C27" i="1" s="1"/>
  <c r="AH17" i="3"/>
  <c r="AG17" i="3"/>
  <c r="AF17" i="3"/>
  <c r="AE17" i="3"/>
  <c r="AD17" i="3"/>
  <c r="Z17" i="3"/>
  <c r="J17" i="3"/>
  <c r="J16" i="3"/>
  <c r="BJ14" i="3"/>
  <c r="BI14" i="3"/>
  <c r="BH14" i="3"/>
  <c r="AB14" i="3" s="1"/>
  <c r="BF14" i="3"/>
  <c r="BD14" i="3"/>
  <c r="AX14" i="3"/>
  <c r="AW14" i="3"/>
  <c r="AP14" i="3"/>
  <c r="AO14" i="3"/>
  <c r="AK14" i="3"/>
  <c r="AT13" i="3" s="1"/>
  <c r="AJ14" i="3"/>
  <c r="AS13" i="3" s="1"/>
  <c r="AH14" i="3"/>
  <c r="AG14" i="3"/>
  <c r="AF14" i="3"/>
  <c r="AE14" i="3"/>
  <c r="AD14" i="3"/>
  <c r="AC14" i="3"/>
  <c r="Z14" i="3"/>
  <c r="J14" i="3"/>
  <c r="J13" i="3" s="1"/>
  <c r="I14" i="3"/>
  <c r="I13" i="3" s="1"/>
  <c r="H14" i="3"/>
  <c r="H13" i="3"/>
  <c r="AU1" i="3"/>
  <c r="AT1" i="3"/>
  <c r="AS1" i="3"/>
  <c r="I44" i="2"/>
  <c r="F44" i="2"/>
  <c r="F43" i="2"/>
  <c r="I43" i="2" s="1"/>
  <c r="F42" i="2"/>
  <c r="I42" i="2" s="1"/>
  <c r="F41" i="2"/>
  <c r="I41" i="2" s="1"/>
  <c r="I40" i="2"/>
  <c r="F40" i="2"/>
  <c r="I39" i="2"/>
  <c r="F39" i="2"/>
  <c r="I38" i="2"/>
  <c r="F38" i="2"/>
  <c r="F36" i="2"/>
  <c r="I36" i="2" s="1"/>
  <c r="F35" i="2"/>
  <c r="I35" i="2" s="1"/>
  <c r="I26" i="2"/>
  <c r="I19" i="1" s="1"/>
  <c r="I25" i="2"/>
  <c r="I24" i="2"/>
  <c r="I23" i="2"/>
  <c r="I22" i="2"/>
  <c r="I21" i="2"/>
  <c r="I17" i="2"/>
  <c r="F16" i="1" s="1"/>
  <c r="I16" i="2"/>
  <c r="I15" i="2"/>
  <c r="I10" i="2"/>
  <c r="F10" i="2"/>
  <c r="C10" i="2"/>
  <c r="F8" i="2"/>
  <c r="C8" i="2"/>
  <c r="F6" i="2"/>
  <c r="C6" i="2"/>
  <c r="F4" i="2"/>
  <c r="C4" i="2"/>
  <c r="F2" i="2"/>
  <c r="C2" i="2"/>
  <c r="I18" i="1"/>
  <c r="I17" i="1"/>
  <c r="I16" i="1"/>
  <c r="I15" i="1"/>
  <c r="F15" i="1"/>
  <c r="F14" i="1"/>
  <c r="F10" i="1"/>
  <c r="C10" i="1"/>
  <c r="F8" i="1"/>
  <c r="C8" i="1"/>
  <c r="F6" i="1"/>
  <c r="C6" i="1"/>
  <c r="F4" i="1"/>
  <c r="C4" i="1"/>
  <c r="F2" i="1"/>
  <c r="C2" i="1"/>
  <c r="AL39" i="3" l="1"/>
  <c r="AU38" i="3" s="1"/>
  <c r="J38" i="3"/>
  <c r="I114" i="3"/>
  <c r="BI114" i="3"/>
  <c r="AC114" i="3" s="1"/>
  <c r="BI242" i="3"/>
  <c r="AE242" i="3" s="1"/>
  <c r="I242" i="3"/>
  <c r="H90" i="3"/>
  <c r="BH90" i="3"/>
  <c r="AB90" i="3" s="1"/>
  <c r="AX114" i="3"/>
  <c r="AV114" i="3" s="1"/>
  <c r="BH204" i="3"/>
  <c r="AD204" i="3" s="1"/>
  <c r="AW204" i="3"/>
  <c r="H204" i="3"/>
  <c r="AX242" i="3"/>
  <c r="AW90" i="3"/>
  <c r="AV262" i="3"/>
  <c r="BC262" i="3"/>
  <c r="BH264" i="3"/>
  <c r="AD264" i="3" s="1"/>
  <c r="H264" i="3"/>
  <c r="BH170" i="3"/>
  <c r="AD170" i="3" s="1"/>
  <c r="AW170" i="3"/>
  <c r="H170" i="3"/>
  <c r="BI264" i="3"/>
  <c r="AE264" i="3" s="1"/>
  <c r="I264" i="3"/>
  <c r="AX264" i="3"/>
  <c r="C21" i="1"/>
  <c r="AX34" i="3"/>
  <c r="AV34" i="3" s="1"/>
  <c r="BI34" i="3"/>
  <c r="AC34" i="3" s="1"/>
  <c r="BH190" i="3"/>
  <c r="AD190" i="3" s="1"/>
  <c r="H190" i="3"/>
  <c r="H189" i="3" s="1"/>
  <c r="AW264" i="3"/>
  <c r="AU46" i="3"/>
  <c r="AX274" i="3"/>
  <c r="AV274" i="3" s="1"/>
  <c r="AL344" i="3"/>
  <c r="AU343" i="3" s="1"/>
  <c r="J343" i="3"/>
  <c r="BH130" i="3"/>
  <c r="AB130" i="3" s="1"/>
  <c r="AW130" i="3"/>
  <c r="AW190" i="3"/>
  <c r="BC235" i="3"/>
  <c r="AV235" i="3"/>
  <c r="I274" i="3"/>
  <c r="I273" i="3" s="1"/>
  <c r="AX316" i="3"/>
  <c r="BI316" i="3"/>
  <c r="AC316" i="3" s="1"/>
  <c r="I316" i="3"/>
  <c r="I34" i="3"/>
  <c r="BI47" i="3"/>
  <c r="AC47" i="3" s="1"/>
  <c r="AX47" i="3"/>
  <c r="I47" i="3"/>
  <c r="BH83" i="3"/>
  <c r="AB83" i="3" s="1"/>
  <c r="H83" i="3"/>
  <c r="AU98" i="3"/>
  <c r="H154" i="3"/>
  <c r="BH154" i="3"/>
  <c r="AB154" i="3" s="1"/>
  <c r="AX249" i="3"/>
  <c r="BI249" i="3"/>
  <c r="AE249" i="3" s="1"/>
  <c r="AS246" i="3"/>
  <c r="C19" i="1"/>
  <c r="AX83" i="3"/>
  <c r="BI83" i="3"/>
  <c r="AC83" i="3" s="1"/>
  <c r="I83" i="3"/>
  <c r="I70" i="3" s="1"/>
  <c r="H99" i="3"/>
  <c r="BH99" i="3"/>
  <c r="AB99" i="3" s="1"/>
  <c r="I223" i="3"/>
  <c r="BI223" i="3"/>
  <c r="AE223" i="3" s="1"/>
  <c r="AW316" i="3"/>
  <c r="BC14" i="3"/>
  <c r="AV14" i="3"/>
  <c r="AL81" i="3"/>
  <c r="AU70" i="3" s="1"/>
  <c r="J70" i="3"/>
  <c r="AX99" i="3"/>
  <c r="I99" i="3"/>
  <c r="BI99" i="3"/>
  <c r="AC99" i="3" s="1"/>
  <c r="H123" i="3"/>
  <c r="AW123" i="3"/>
  <c r="BH123" i="3"/>
  <c r="AB123" i="3" s="1"/>
  <c r="H130" i="3"/>
  <c r="H129" i="3" s="1"/>
  <c r="AW154" i="3"/>
  <c r="AU157" i="3"/>
  <c r="J208" i="3"/>
  <c r="AX223" i="3"/>
  <c r="AV223" i="3" s="1"/>
  <c r="AW249" i="3"/>
  <c r="AW367" i="3"/>
  <c r="BH367" i="3"/>
  <c r="H367" i="3"/>
  <c r="AV41" i="3"/>
  <c r="BC41" i="3"/>
  <c r="BC31" i="3"/>
  <c r="AU189" i="3"/>
  <c r="C20" i="1"/>
  <c r="AV61" i="3"/>
  <c r="BC61" i="3"/>
  <c r="BC372" i="3"/>
  <c r="AL181" i="3"/>
  <c r="AU180" i="3" s="1"/>
  <c r="J180" i="3"/>
  <c r="BH47" i="3"/>
  <c r="AB47" i="3" s="1"/>
  <c r="AW47" i="3"/>
  <c r="H47" i="3"/>
  <c r="AW83" i="3"/>
  <c r="BC99" i="3"/>
  <c r="AV99" i="3"/>
  <c r="BC121" i="3"/>
  <c r="AV121" i="3"/>
  <c r="BI123" i="3"/>
  <c r="AC123" i="3" s="1"/>
  <c r="AX123" i="3"/>
  <c r="I123" i="3"/>
  <c r="I116" i="3" s="1"/>
  <c r="I225" i="3"/>
  <c r="BI225" i="3"/>
  <c r="AE225" i="3" s="1"/>
  <c r="AX225" i="3"/>
  <c r="H249" i="3"/>
  <c r="H252" i="3"/>
  <c r="AW252" i="3"/>
  <c r="BH252" i="3"/>
  <c r="AD252" i="3" s="1"/>
  <c r="H316" i="3"/>
  <c r="H311" i="3" s="1"/>
  <c r="AT16" i="3"/>
  <c r="J98" i="3"/>
  <c r="I151" i="3"/>
  <c r="BI213" i="3"/>
  <c r="AE213" i="3" s="1"/>
  <c r="AX213" i="3"/>
  <c r="AV213" i="3" s="1"/>
  <c r="I213" i="3"/>
  <c r="I249" i="3"/>
  <c r="BI105" i="3"/>
  <c r="AC105" i="3" s="1"/>
  <c r="AX105" i="3"/>
  <c r="AV105" i="3" s="1"/>
  <c r="BI90" i="3"/>
  <c r="AC90" i="3" s="1"/>
  <c r="AX90" i="3"/>
  <c r="I90" i="3"/>
  <c r="BH21" i="3"/>
  <c r="AB21" i="3" s="1"/>
  <c r="AW21" i="3"/>
  <c r="H21" i="3"/>
  <c r="AW146" i="3"/>
  <c r="H146" i="3"/>
  <c r="H145" i="3" s="1"/>
  <c r="BH146" i="3"/>
  <c r="AB146" i="3" s="1"/>
  <c r="BH167" i="3"/>
  <c r="AD167" i="3" s="1"/>
  <c r="AW167" i="3"/>
  <c r="H167" i="3"/>
  <c r="BI63" i="3"/>
  <c r="AC63" i="3" s="1"/>
  <c r="AX63" i="3"/>
  <c r="BC63" i="3" s="1"/>
  <c r="I63" i="3"/>
  <c r="BH365" i="3"/>
  <c r="H365" i="3"/>
  <c r="AW365" i="3"/>
  <c r="AU16" i="3"/>
  <c r="I267" i="3"/>
  <c r="BH270" i="3"/>
  <c r="AD270" i="3" s="1"/>
  <c r="AW270" i="3"/>
  <c r="H270" i="3"/>
  <c r="H267" i="3" s="1"/>
  <c r="I18" i="2"/>
  <c r="BH17" i="3"/>
  <c r="AB17" i="3" s="1"/>
  <c r="C14" i="1" s="1"/>
  <c r="AW17" i="3"/>
  <c r="H17" i="3"/>
  <c r="H41" i="3"/>
  <c r="H38" i="3" s="1"/>
  <c r="BH41" i="3"/>
  <c r="AB41" i="3" s="1"/>
  <c r="BH53" i="3"/>
  <c r="AB53" i="3" s="1"/>
  <c r="H53" i="3"/>
  <c r="AT70" i="3"/>
  <c r="BC112" i="3"/>
  <c r="AV112" i="3"/>
  <c r="AL154" i="3"/>
  <c r="AU151" i="3" s="1"/>
  <c r="J151" i="3"/>
  <c r="AW176" i="3"/>
  <c r="BC213" i="3"/>
  <c r="AL268" i="3"/>
  <c r="AU267" i="3" s="1"/>
  <c r="J267" i="3"/>
  <c r="BI309" i="3"/>
  <c r="AC309" i="3" s="1"/>
  <c r="AX309" i="3"/>
  <c r="AV309" i="3" s="1"/>
  <c r="I309" i="3"/>
  <c r="I308" i="3" s="1"/>
  <c r="F22" i="1"/>
  <c r="I14" i="1"/>
  <c r="I22" i="1" s="1"/>
  <c r="I27" i="2"/>
  <c r="AX53" i="3"/>
  <c r="AV53" i="3" s="1"/>
  <c r="BI53" i="3"/>
  <c r="AC53" i="3" s="1"/>
  <c r="I53" i="3"/>
  <c r="BH71" i="3"/>
  <c r="AB71" i="3" s="1"/>
  <c r="AW71" i="3"/>
  <c r="H71" i="3"/>
  <c r="H70" i="3" s="1"/>
  <c r="BC114" i="3"/>
  <c r="H176" i="3"/>
  <c r="AL298" i="3"/>
  <c r="AU297" i="3" s="1"/>
  <c r="J297" i="3"/>
  <c r="AW56" i="3"/>
  <c r="H56" i="3"/>
  <c r="H101" i="3"/>
  <c r="BH101" i="3"/>
  <c r="AB101" i="3" s="1"/>
  <c r="BI170" i="3"/>
  <c r="AE170" i="3" s="1"/>
  <c r="I170" i="3"/>
  <c r="BH179" i="3"/>
  <c r="AW179" i="3"/>
  <c r="H179" i="3"/>
  <c r="I245" i="3"/>
  <c r="BI245" i="3"/>
  <c r="AS311" i="3"/>
  <c r="AX318" i="3"/>
  <c r="AV318" i="3" s="1"/>
  <c r="BI318" i="3"/>
  <c r="AC318" i="3" s="1"/>
  <c r="I367" i="3"/>
  <c r="BI367" i="3"/>
  <c r="BI125" i="3"/>
  <c r="AC125" i="3" s="1"/>
  <c r="AX125" i="3"/>
  <c r="BC125" i="3" s="1"/>
  <c r="I125" i="3"/>
  <c r="AL242" i="3"/>
  <c r="AU241" i="3" s="1"/>
  <c r="J241" i="3"/>
  <c r="BC309" i="3"/>
  <c r="BH335" i="3"/>
  <c r="AB335" i="3" s="1"/>
  <c r="H335" i="3"/>
  <c r="F37" i="2"/>
  <c r="I37" i="2" s="1"/>
  <c r="I45" i="2" s="1"/>
  <c r="I24" i="1" s="1"/>
  <c r="AX56" i="3"/>
  <c r="AW101" i="3"/>
  <c r="AV107" i="3"/>
  <c r="BC107" i="3"/>
  <c r="BH117" i="3"/>
  <c r="AB117" i="3" s="1"/>
  <c r="AW117" i="3"/>
  <c r="AV125" i="3"/>
  <c r="AL137" i="3"/>
  <c r="AU136" i="3" s="1"/>
  <c r="I158" i="3"/>
  <c r="BI158" i="3"/>
  <c r="AE158" i="3" s="1"/>
  <c r="C17" i="1" s="1"/>
  <c r="AX170" i="3"/>
  <c r="AV216" i="3"/>
  <c r="BC216" i="3"/>
  <c r="AX245" i="3"/>
  <c r="AV245" i="3" s="1"/>
  <c r="AV254" i="3"/>
  <c r="BC254" i="3"/>
  <c r="BC266" i="3"/>
  <c r="H320" i="3"/>
  <c r="AW320" i="3"/>
  <c r="BI341" i="3"/>
  <c r="AX341" i="3"/>
  <c r="AV341" i="3" s="1"/>
  <c r="AV349" i="3"/>
  <c r="BC349" i="3"/>
  <c r="H362" i="3"/>
  <c r="H361" i="3" s="1"/>
  <c r="AX367" i="3"/>
  <c r="AL14" i="3"/>
  <c r="I21" i="3"/>
  <c r="AV31" i="3"/>
  <c r="BH78" i="3"/>
  <c r="AB78" i="3" s="1"/>
  <c r="AW78" i="3"/>
  <c r="AX93" i="3"/>
  <c r="AX101" i="3"/>
  <c r="AV158" i="3"/>
  <c r="BH218" i="3"/>
  <c r="AD218" i="3" s="1"/>
  <c r="H218" i="3"/>
  <c r="H208" i="3" s="1"/>
  <c r="AW227" i="3"/>
  <c r="H227" i="3"/>
  <c r="BI257" i="3"/>
  <c r="AE257" i="3" s="1"/>
  <c r="AX257" i="3"/>
  <c r="I257" i="3"/>
  <c r="AL309" i="3"/>
  <c r="AU308" i="3" s="1"/>
  <c r="J308" i="3"/>
  <c r="I318" i="3"/>
  <c r="I311" i="3" s="1"/>
  <c r="AW335" i="3"/>
  <c r="I346" i="3"/>
  <c r="BC347" i="3"/>
  <c r="AW362" i="3"/>
  <c r="I17" i="3"/>
  <c r="I16" i="3" s="1"/>
  <c r="AX17" i="3"/>
  <c r="J25" i="3"/>
  <c r="J12" i="3" s="1"/>
  <c r="H31" i="3"/>
  <c r="H30" i="3" s="1"/>
  <c r="AX31" i="3"/>
  <c r="BH44" i="3"/>
  <c r="AB44" i="3" s="1"/>
  <c r="AW44" i="3"/>
  <c r="H92" i="3"/>
  <c r="BI137" i="3"/>
  <c r="AC137" i="3" s="1"/>
  <c r="AX137" i="3"/>
  <c r="I137" i="3"/>
  <c r="AX158" i="3"/>
  <c r="BC158" i="3" s="1"/>
  <c r="I179" i="3"/>
  <c r="I196" i="3"/>
  <c r="I189" i="3" s="1"/>
  <c r="BI196" i="3"/>
  <c r="AE196" i="3" s="1"/>
  <c r="AV237" i="3"/>
  <c r="AV322" i="3"/>
  <c r="AX335" i="3"/>
  <c r="I341" i="3"/>
  <c r="I340" i="3" s="1"/>
  <c r="BC341" i="3"/>
  <c r="AT116" i="3"/>
  <c r="BI194" i="3"/>
  <c r="AE194" i="3" s="1"/>
  <c r="AX194" i="3"/>
  <c r="AV194" i="3" s="1"/>
  <c r="BI266" i="3"/>
  <c r="I266" i="3"/>
  <c r="I92" i="3"/>
  <c r="BI254" i="3"/>
  <c r="AE254" i="3" s="1"/>
  <c r="AX254" i="3"/>
  <c r="I254" i="3"/>
  <c r="I246" i="3" s="1"/>
  <c r="I301" i="3"/>
  <c r="AT311" i="3"/>
  <c r="I30" i="3"/>
  <c r="AX85" i="3"/>
  <c r="AV85" i="3" s="1"/>
  <c r="I85" i="3"/>
  <c r="I44" i="3"/>
  <c r="I38" i="3" s="1"/>
  <c r="BI44" i="3"/>
  <c r="AC44" i="3" s="1"/>
  <c r="I65" i="3"/>
  <c r="AX65" i="3"/>
  <c r="J92" i="3"/>
  <c r="AL93" i="3"/>
  <c r="AU92" i="3" s="1"/>
  <c r="I101" i="3"/>
  <c r="BI109" i="3"/>
  <c r="AC109" i="3" s="1"/>
  <c r="AX109" i="3"/>
  <c r="BC109" i="3" s="1"/>
  <c r="I109" i="3"/>
  <c r="BI127" i="3"/>
  <c r="AC127" i="3" s="1"/>
  <c r="AX127" i="3"/>
  <c r="AV127" i="3" s="1"/>
  <c r="I127" i="3"/>
  <c r="AV137" i="3"/>
  <c r="BC137" i="3"/>
  <c r="H158" i="3"/>
  <c r="H157" i="3" s="1"/>
  <c r="BC218" i="3"/>
  <c r="AV218" i="3"/>
  <c r="BH229" i="3"/>
  <c r="AD229" i="3" s="1"/>
  <c r="AW229" i="3"/>
  <c r="H229" i="3"/>
  <c r="AU246" i="3"/>
  <c r="AX272" i="3"/>
  <c r="I272" i="3"/>
  <c r="BC312" i="3"/>
  <c r="AV312" i="3"/>
  <c r="BI322" i="3"/>
  <c r="AC322" i="3" s="1"/>
  <c r="AX322" i="3"/>
  <c r="BC322" i="3" s="1"/>
  <c r="I322" i="3"/>
  <c r="BH358" i="3"/>
  <c r="AW358" i="3"/>
  <c r="BH56" i="3"/>
  <c r="AB56" i="3" s="1"/>
  <c r="AW96" i="3"/>
  <c r="BH96" i="3"/>
  <c r="AB96" i="3" s="1"/>
  <c r="H96" i="3"/>
  <c r="H117" i="3"/>
  <c r="H116" i="3" s="1"/>
  <c r="J157" i="3"/>
  <c r="AV173" i="3"/>
  <c r="BI179" i="3"/>
  <c r="BI221" i="3"/>
  <c r="AE221" i="3" s="1"/>
  <c r="I221" i="3"/>
  <c r="BI260" i="3"/>
  <c r="AE260" i="3" s="1"/>
  <c r="AX260" i="3"/>
  <c r="AV260" i="3" s="1"/>
  <c r="I260" i="3"/>
  <c r="I335" i="3"/>
  <c r="BI358" i="3"/>
  <c r="I358" i="3"/>
  <c r="BC59" i="3"/>
  <c r="AV59" i="3"/>
  <c r="BI142" i="3"/>
  <c r="AC142" i="3" s="1"/>
  <c r="AX142" i="3"/>
  <c r="BC142" i="3" s="1"/>
  <c r="I142" i="3"/>
  <c r="H152" i="3"/>
  <c r="BH152" i="3"/>
  <c r="AB152" i="3" s="1"/>
  <c r="BC181" i="3"/>
  <c r="AV181" i="3"/>
  <c r="AW199" i="3"/>
  <c r="BH199" i="3"/>
  <c r="AD199" i="3" s="1"/>
  <c r="BH233" i="3"/>
  <c r="AD233" i="3" s="1"/>
  <c r="AW233" i="3"/>
  <c r="AS273" i="3"/>
  <c r="AU351" i="3"/>
  <c r="BI21" i="3"/>
  <c r="AC21" i="3" s="1"/>
  <c r="BH31" i="3"/>
  <c r="AB31" i="3" s="1"/>
  <c r="BC87" i="3"/>
  <c r="AV87" i="3"/>
  <c r="BI93" i="3"/>
  <c r="AC93" i="3" s="1"/>
  <c r="AV142" i="3"/>
  <c r="BH158" i="3"/>
  <c r="AD158" i="3" s="1"/>
  <c r="C16" i="1" s="1"/>
  <c r="BI233" i="3"/>
  <c r="AE233" i="3" s="1"/>
  <c r="I233" i="3"/>
  <c r="BH240" i="3"/>
  <c r="AW240" i="3"/>
  <c r="BC260" i="3"/>
  <c r="AT273" i="3"/>
  <c r="BH306" i="3"/>
  <c r="AB306" i="3" s="1"/>
  <c r="AW306" i="3"/>
  <c r="H306" i="3"/>
  <c r="H301" i="3" s="1"/>
  <c r="BH320" i="3"/>
  <c r="AB320" i="3" s="1"/>
  <c r="BI338" i="3"/>
  <c r="AC338" i="3" s="1"/>
  <c r="I338" i="3"/>
  <c r="I337" i="3" s="1"/>
  <c r="AW352" i="3"/>
  <c r="H352" i="3"/>
  <c r="BC26" i="3"/>
  <c r="BI31" i="3"/>
  <c r="AC31" i="3" s="1"/>
  <c r="BC39" i="3"/>
  <c r="H59" i="3"/>
  <c r="AV67" i="3"/>
  <c r="BC67" i="3"/>
  <c r="AV81" i="3"/>
  <c r="AW152" i="3"/>
  <c r="BI209" i="3"/>
  <c r="AE209" i="3" s="1"/>
  <c r="AX209" i="3"/>
  <c r="I209" i="3"/>
  <c r="AX240" i="3"/>
  <c r="I240" i="3"/>
  <c r="BI272" i="3"/>
  <c r="AX306" i="3"/>
  <c r="I306" i="3"/>
  <c r="AL312" i="3"/>
  <c r="AU311" i="3" s="1"/>
  <c r="J311" i="3"/>
  <c r="AW314" i="3"/>
  <c r="BI324" i="3"/>
  <c r="AC324" i="3" s="1"/>
  <c r="AX324" i="3"/>
  <c r="AX338" i="3"/>
  <c r="H358" i="3"/>
  <c r="AV63" i="3"/>
  <c r="BI199" i="3"/>
  <c r="AE199" i="3" s="1"/>
  <c r="BC201" i="3"/>
  <c r="BH231" i="3"/>
  <c r="AD231" i="3" s="1"/>
  <c r="AW231" i="3"/>
  <c r="H231" i="3"/>
  <c r="BC242" i="3"/>
  <c r="BH347" i="3"/>
  <c r="AF347" i="3" s="1"/>
  <c r="C18" i="1" s="1"/>
  <c r="J351" i="3"/>
  <c r="BH356" i="3"/>
  <c r="AW356" i="3"/>
  <c r="H356" i="3"/>
  <c r="I364" i="3"/>
  <c r="I360" i="3" s="1"/>
  <c r="BH207" i="3"/>
  <c r="AW207" i="3"/>
  <c r="H207" i="3"/>
  <c r="AL274" i="3"/>
  <c r="AU273" i="3" s="1"/>
  <c r="J273" i="3"/>
  <c r="BC161" i="3"/>
  <c r="BH338" i="3"/>
  <c r="AB338" i="3" s="1"/>
  <c r="AW338" i="3"/>
  <c r="AV369" i="3"/>
  <c r="BI103" i="3"/>
  <c r="AC103" i="3" s="1"/>
  <c r="AX103" i="3"/>
  <c r="BC103" i="3" s="1"/>
  <c r="I103" i="3"/>
  <c r="BH109" i="3"/>
  <c r="AB109" i="3" s="1"/>
  <c r="H109" i="3"/>
  <c r="AU116" i="3"/>
  <c r="H136" i="3"/>
  <c r="AT267" i="3"/>
  <c r="H288" i="3"/>
  <c r="H278" i="3" s="1"/>
  <c r="AW288" i="3"/>
  <c r="AU364" i="3"/>
  <c r="J189" i="3"/>
  <c r="BC194" i="3"/>
  <c r="AT208" i="3"/>
  <c r="AV242" i="3"/>
  <c r="H247" i="3"/>
  <c r="H246" i="3" s="1"/>
  <c r="AW247" i="3"/>
  <c r="AW272" i="3"/>
  <c r="AV332" i="3"/>
  <c r="BI349" i="3"/>
  <c r="AG349" i="3" s="1"/>
  <c r="AX349" i="3"/>
  <c r="I349" i="3"/>
  <c r="AW354" i="3"/>
  <c r="H63" i="3"/>
  <c r="I96" i="3"/>
  <c r="H322" i="3"/>
  <c r="H349" i="3"/>
  <c r="H346" i="3" s="1"/>
  <c r="I352" i="3"/>
  <c r="I351" i="3" s="1"/>
  <c r="H369" i="3"/>
  <c r="H372" i="3"/>
  <c r="H371" i="3" s="1"/>
  <c r="H375" i="3"/>
  <c r="H374" i="3" s="1"/>
  <c r="AW375" i="3"/>
  <c r="AX375" i="3"/>
  <c r="AV324" i="3" l="1"/>
  <c r="BC324" i="3"/>
  <c r="BC358" i="3"/>
  <c r="AV358" i="3"/>
  <c r="BC83" i="3"/>
  <c r="AV83" i="3"/>
  <c r="BC375" i="3"/>
  <c r="AV375" i="3"/>
  <c r="BC93" i="3"/>
  <c r="AV93" i="3"/>
  <c r="AV21" i="3"/>
  <c r="BC21" i="3"/>
  <c r="H351" i="3"/>
  <c r="H98" i="3"/>
  <c r="BC245" i="3"/>
  <c r="BC318" i="3"/>
  <c r="BC127" i="3"/>
  <c r="I157" i="3"/>
  <c r="AV123" i="3"/>
  <c r="BC123" i="3"/>
  <c r="AV90" i="3"/>
  <c r="BC90" i="3"/>
  <c r="AV320" i="3"/>
  <c r="BC320" i="3"/>
  <c r="H46" i="3"/>
  <c r="AV356" i="3"/>
  <c r="BC356" i="3"/>
  <c r="BC252" i="3"/>
  <c r="AV252" i="3"/>
  <c r="H151" i="3"/>
  <c r="BC274" i="3"/>
  <c r="BC352" i="3"/>
  <c r="AV352" i="3"/>
  <c r="C15" i="1"/>
  <c r="C22" i="1" s="1"/>
  <c r="AV103" i="3"/>
  <c r="H16" i="3"/>
  <c r="BC105" i="3"/>
  <c r="BC176" i="3"/>
  <c r="AV176" i="3"/>
  <c r="BC247" i="3"/>
  <c r="AV247" i="3"/>
  <c r="AV71" i="3"/>
  <c r="BC71" i="3"/>
  <c r="AV170" i="3"/>
  <c r="BC170" i="3"/>
  <c r="I241" i="3"/>
  <c r="AV314" i="3"/>
  <c r="BC314" i="3"/>
  <c r="BC362" i="3"/>
  <c r="AV362" i="3"/>
  <c r="J377" i="3"/>
  <c r="AV365" i="3"/>
  <c r="BC365" i="3"/>
  <c r="BC225" i="3"/>
  <c r="AV225" i="3"/>
  <c r="BC264" i="3"/>
  <c r="AV264" i="3"/>
  <c r="I136" i="3"/>
  <c r="BC223" i="3"/>
  <c r="BC85" i="3"/>
  <c r="AV257" i="3"/>
  <c r="BC257" i="3"/>
  <c r="AV56" i="3"/>
  <c r="BC56" i="3"/>
  <c r="BC17" i="3"/>
  <c r="AV17" i="3"/>
  <c r="BC53" i="3"/>
  <c r="AV207" i="3"/>
  <c r="BC207" i="3"/>
  <c r="BC270" i="3"/>
  <c r="AV270" i="3"/>
  <c r="BC130" i="3"/>
  <c r="AV130" i="3"/>
  <c r="AV101" i="3"/>
  <c r="BC101" i="3"/>
  <c r="BC199" i="3"/>
  <c r="AV199" i="3"/>
  <c r="BC367" i="3"/>
  <c r="AV367" i="3"/>
  <c r="BC249" i="3"/>
  <c r="AV249" i="3"/>
  <c r="AV338" i="3"/>
  <c r="BC338" i="3"/>
  <c r="AV154" i="3"/>
  <c r="BC154" i="3"/>
  <c r="AU13" i="3"/>
  <c r="C29" i="1"/>
  <c r="BC288" i="3"/>
  <c r="AV288" i="3"/>
  <c r="I208" i="3"/>
  <c r="AV209" i="3"/>
  <c r="BC209" i="3"/>
  <c r="BC229" i="3"/>
  <c r="AV229" i="3"/>
  <c r="BC65" i="3"/>
  <c r="AV65" i="3"/>
  <c r="BC44" i="3"/>
  <c r="AV44" i="3"/>
  <c r="F29" i="2"/>
  <c r="AV167" i="3"/>
  <c r="BC167" i="3"/>
  <c r="BC204" i="3"/>
  <c r="AV204" i="3"/>
  <c r="BC34" i="3"/>
  <c r="BC96" i="3"/>
  <c r="AV96" i="3"/>
  <c r="BC272" i="3"/>
  <c r="AV272" i="3"/>
  <c r="BC240" i="3"/>
  <c r="AV240" i="3"/>
  <c r="BC146" i="3"/>
  <c r="AV146" i="3"/>
  <c r="BC316" i="3"/>
  <c r="AV316" i="3"/>
  <c r="BC47" i="3"/>
  <c r="AV47" i="3"/>
  <c r="BC78" i="3"/>
  <c r="AV78" i="3"/>
  <c r="BC179" i="3"/>
  <c r="AV179" i="3"/>
  <c r="I46" i="3"/>
  <c r="I12" i="3" s="1"/>
  <c r="BC335" i="3"/>
  <c r="AV335" i="3"/>
  <c r="H364" i="3"/>
  <c r="H360" i="3" s="1"/>
  <c r="AV231" i="3"/>
  <c r="BC231" i="3"/>
  <c r="BC354" i="3"/>
  <c r="AV354" i="3"/>
  <c r="AV109" i="3"/>
  <c r="AV306" i="3"/>
  <c r="BC306" i="3"/>
  <c r="AV117" i="3"/>
  <c r="BC117" i="3"/>
  <c r="I98" i="3"/>
  <c r="BC152" i="3"/>
  <c r="AV152" i="3"/>
  <c r="AV233" i="3"/>
  <c r="BC233" i="3"/>
  <c r="BC227" i="3"/>
  <c r="AV227" i="3"/>
  <c r="BC190" i="3"/>
  <c r="AV190" i="3"/>
  <c r="F29" i="1" l="1"/>
  <c r="I28" i="1"/>
  <c r="I29" i="1" s="1"/>
  <c r="H12" i="3"/>
</calcChain>
</file>

<file path=xl/sharedStrings.xml><?xml version="1.0" encoding="utf-8"?>
<sst xmlns="http://schemas.openxmlformats.org/spreadsheetml/2006/main" count="2502" uniqueCount="736">
  <si>
    <t>Krycí list slepého rozpočtu</t>
  </si>
  <si>
    <t>Název stavby:</t>
  </si>
  <si>
    <t>Objednatel:</t>
  </si>
  <si>
    <t>IČO/DIČ:</t>
  </si>
  <si>
    <t/>
  </si>
  <si>
    <t>Druh stavby:</t>
  </si>
  <si>
    <t>Projektant:</t>
  </si>
  <si>
    <t>Lokalita:</t>
  </si>
  <si>
    <t>Zhotovitel: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</si>
  <si>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</si>
  <si>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</si>
  <si>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</si>
  <si>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</si>
  <si>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</si>
  <si>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</si>
  <si>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</si>
  <si>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</si>
  <si>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</si>
  <si>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</si>
  <si>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</si>
  <si>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</si>
  <si>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</si>
  <si>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</si>
  <si>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</si>
  <si>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</si>
  <si>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</si>
  <si>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</si>
  <si>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</si>
  <si>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</si>
  <si>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</si>
  <si>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</si>
  <si>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</si>
  <si>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</si>
  <si>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</si>
  <si>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</si>
  <si>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</si>
  <si>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</si>
  <si>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</si>
  <si>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</si>
  <si>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</si>
  <si>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</si>
  <si>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</si>
  <si>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</si>
  <si>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</si>
  <si>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</si>
  <si>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</si>
  <si>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</si>
  <si>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</si>
  <si>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</si>
  <si>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</si>
  <si>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</si>
  <si>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</si>
  <si>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</si>
  <si>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</si>
  <si>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</si>
  <si>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</si>
  <si>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</si>
  <si>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</si>
  <si>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</si>
  <si>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</si>
  <si>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</si>
  <si>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</si>
  <si>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</si>
  <si>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</si>
  <si>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</si>
  <si>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</si>
  <si>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</si>
  <si>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</si>
  <si>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</si>
  <si>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</si>
  <si>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</si>
  <si>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</si>
  <si>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</si>
  <si>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</si>
  <si>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</si>
  <si>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</si>
  <si>
    <t>Slepý stavební rozpočet</t>
  </si>
  <si>
    <t>Stavební úpravy garáže</t>
  </si>
  <si>
    <t>Doba výstavby:</t>
  </si>
  <si>
    <t xml:space="preserve"> </t>
  </si>
  <si>
    <t> </t>
  </si>
  <si>
    <t>Přibyslav</t>
  </si>
  <si>
    <t>Zpracováno dne:</t>
  </si>
  <si>
    <t>Č</t>
  </si>
  <si>
    <t>Kód</t>
  </si>
  <si>
    <t>Zkrácený popis / Varianta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</si>
  <si>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</si>
  <si>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</si>
  <si>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</si>
  <si>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</si>
  <si>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</si>
  <si>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</si>
  <si>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</si>
  <si>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</si>
  <si>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</si>
  <si>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</si>
  <si>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</si>
  <si>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</si>
  <si>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</si>
  <si>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</si>
  <si>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</si>
  <si>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</si>
  <si>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</si>
  <si>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</si>
  <si>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</si>
  <si>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</si>
  <si>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</si>
  <si>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</si>
  <si>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</si>
  <si>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</si>
  <si>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</si>
  <si>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Nezařazeno</t>
  </si>
  <si>
    <t>12</t>
  </si>
  <si>
    <t>Odkopávky a prokopávky</t>
  </si>
  <si>
    <t>1</t>
  </si>
  <si>
    <t>122201101R00</t>
  </si>
  <si>
    <t>Odkopávky nezapažené v hor. 3 do 100 m3</t>
  </si>
  <si>
    <t>m3</t>
  </si>
  <si>
    <t>RTS II / 2024</t>
  </si>
  <si>
    <t>12_</t>
  </si>
  <si>
    <t>_1_</t>
  </si>
  <si>
    <t>_</t>
  </si>
  <si>
    <t>P</t>
  </si>
  <si>
    <t>7,55*6,6*0,15</t>
  </si>
  <si>
    <t>13</t>
  </si>
  <si>
    <t>Hloubené vykopávky</t>
  </si>
  <si>
    <t>2</t>
  </si>
  <si>
    <t>132101210R00</t>
  </si>
  <si>
    <t>Hloubení rýh š.do 200 cm hor.2 do 50 m3, STROJNĚ</t>
  </si>
  <si>
    <t>13_</t>
  </si>
  <si>
    <t>(7,55+6,6+7,55+6,6+3,3)*0,674</t>
  </si>
  <si>
    <t>3</t>
  </si>
  <si>
    <t>132201219R00</t>
  </si>
  <si>
    <t>Přípl.za lepivost,hloubení rýh 200cm,hor.3,STROJNĚ</t>
  </si>
  <si>
    <t>4</t>
  </si>
  <si>
    <t>132201110R00</t>
  </si>
  <si>
    <t>Hloubení rýh š.do 60 cm v hor.3 do 50 m3, STROJNĚ</t>
  </si>
  <si>
    <t>3*0,6*0,8</t>
  </si>
  <si>
    <t>pro potrubí dešť.kanaloizace do vsaku</t>
  </si>
  <si>
    <t>5</t>
  </si>
  <si>
    <t>131201110R00</t>
  </si>
  <si>
    <t>Hloubení nezapaž. jam hor.3 do 50 m3, STROJNĚ</t>
  </si>
  <si>
    <t>3,84*1,5</t>
  </si>
  <si>
    <t>vsak</t>
  </si>
  <si>
    <t>16</t>
  </si>
  <si>
    <t>Přemístění výkopku</t>
  </si>
  <si>
    <t>6</t>
  </si>
  <si>
    <t>162501102R00</t>
  </si>
  <si>
    <t>Vodorovné přemístění výkopku z hor.1-4 do 3000 m</t>
  </si>
  <si>
    <t>16_</t>
  </si>
  <si>
    <t>-7,884</t>
  </si>
  <si>
    <t>17</t>
  </si>
  <si>
    <t>Konstrukce ze zemin</t>
  </si>
  <si>
    <t>7</t>
  </si>
  <si>
    <t>175101101RT2</t>
  </si>
  <si>
    <t>Obsyp potrubí bez prohození sypaniny</t>
  </si>
  <si>
    <t>17_</t>
  </si>
  <si>
    <t>Varianta:</t>
  </si>
  <si>
    <t>s dodáním štěrkopísku frakce 0 - 22 mm</t>
  </si>
  <si>
    <t>3*0,6*0,3</t>
  </si>
  <si>
    <t>8</t>
  </si>
  <si>
    <t>174101101R00</t>
  </si>
  <si>
    <t>Zásyp jam, rýh, šachet se zhutněním</t>
  </si>
  <si>
    <t>3*0,6*0,5</t>
  </si>
  <si>
    <t>3,84*0,5</t>
  </si>
  <si>
    <t>(7,4+7,4+6,3)*0,24</t>
  </si>
  <si>
    <t>21</t>
  </si>
  <si>
    <t>Úprava podloží a základové spáry</t>
  </si>
  <si>
    <t>9</t>
  </si>
  <si>
    <t>212532111R00</t>
  </si>
  <si>
    <t>Lože trativodu z kameniva hrub.drceného,16-32 mm</t>
  </si>
  <si>
    <t>21_</t>
  </si>
  <si>
    <t>_2_</t>
  </si>
  <si>
    <t>3,84*1</t>
  </si>
  <si>
    <t>10</t>
  </si>
  <si>
    <t>213151121R00</t>
  </si>
  <si>
    <t>Obalení vsaku geotextílií</t>
  </si>
  <si>
    <t>m2</t>
  </si>
  <si>
    <t>3,84+3,84</t>
  </si>
  <si>
    <t>(2,4+2,4+1,6+1,6)*1,5</t>
  </si>
  <si>
    <t>11</t>
  </si>
  <si>
    <t>67390503</t>
  </si>
  <si>
    <t>Geotextilie netkaná geoNETEX S07 300 g/m2</t>
  </si>
  <si>
    <t>M</t>
  </si>
  <si>
    <t>19,68</t>
  </si>
  <si>
    <t>27</t>
  </si>
  <si>
    <t>Základy</t>
  </si>
  <si>
    <t>274272140RT3</t>
  </si>
  <si>
    <t>Zdivo základové z bednicích tvárnic, tl. 300 mm</t>
  </si>
  <si>
    <t>27_</t>
  </si>
  <si>
    <t>výplň tvárnic betonem C 16/20</t>
  </si>
  <si>
    <t>(7,4+6,3+7,4+6,3)*0,5</t>
  </si>
  <si>
    <t>274272120RT3</t>
  </si>
  <si>
    <t>Zdivo základové z bednicích tvárnic, tl. 200 mm</t>
  </si>
  <si>
    <t>3,5*0,5</t>
  </si>
  <si>
    <t>14</t>
  </si>
  <si>
    <t>274313611R00</t>
  </si>
  <si>
    <t>Beton základových pasů prostý C 16/20</t>
  </si>
  <si>
    <t>(7,55+7,55+6,6+6,6)*0,5*0,6</t>
  </si>
  <si>
    <t>3,5*0,5*0,5</t>
  </si>
  <si>
    <t>15</t>
  </si>
  <si>
    <t>274361022R00</t>
  </si>
  <si>
    <t>Výztuž zdiva základových pasů z tvárnic ztraceného bednění 12 prutů/m2, průměr 12 mm</t>
  </si>
  <si>
    <t>271531112R00</t>
  </si>
  <si>
    <t>Polštář základu z kameniva hr. drceného 32-63 mm</t>
  </si>
  <si>
    <t>6,8*5,7*0,15</t>
  </si>
  <si>
    <t>273321321R00</t>
  </si>
  <si>
    <t>Železobeton základových desek C 20/25</t>
  </si>
  <si>
    <t>7,4*6,3*0,15</t>
  </si>
  <si>
    <t>18</t>
  </si>
  <si>
    <t>273351215R00</t>
  </si>
  <si>
    <t>Bednění stěn základových desek - zřízení</t>
  </si>
  <si>
    <t>(7,4+6,3+7,4+6,3)*0,2</t>
  </si>
  <si>
    <t>19</t>
  </si>
  <si>
    <t>273351216R00</t>
  </si>
  <si>
    <t>Bednění stěn základových desek - odstranění</t>
  </si>
  <si>
    <t>20</t>
  </si>
  <si>
    <t>273361921RT5</t>
  </si>
  <si>
    <t>Výztuž základových desek ze svařovaných sítí</t>
  </si>
  <si>
    <t>t</t>
  </si>
  <si>
    <t>KH 20, drát d 6,0 mm, oko 150 x 150 mm</t>
  </si>
  <si>
    <t>7,4*6,3*0,0044*2</t>
  </si>
  <si>
    <t>31</t>
  </si>
  <si>
    <t>Zdi podpěrné a volné</t>
  </si>
  <si>
    <t>311238144R00</t>
  </si>
  <si>
    <t>Zdivo POROTHERM 30 Profi P10, tl. 300 mm</t>
  </si>
  <si>
    <t>31_</t>
  </si>
  <si>
    <t>_3_</t>
  </si>
  <si>
    <t>(7,4+7,4+6,3+6,3)*2,25</t>
  </si>
  <si>
    <t>-2,6*2,15</t>
  </si>
  <si>
    <t>-1*2,15</t>
  </si>
  <si>
    <t>-1,25*0,75</t>
  </si>
  <si>
    <t>11,76*2</t>
  </si>
  <si>
    <t>1,89</t>
  </si>
  <si>
    <t>22</t>
  </si>
  <si>
    <t>311112120RT2</t>
  </si>
  <si>
    <t>Stěna z tvárnic ztraceného bednění, tl. 200 mm</t>
  </si>
  <si>
    <t>zalití tvárnic betonem C 16/20</t>
  </si>
  <si>
    <t>3,5*2</t>
  </si>
  <si>
    <t>23</t>
  </si>
  <si>
    <t>317168122R00</t>
  </si>
  <si>
    <t>Překlad POROTHERM KP plochý 145 x 71 x 1250 mm</t>
  </si>
  <si>
    <t>kus</t>
  </si>
  <si>
    <t>24</t>
  </si>
  <si>
    <t>317168132R00</t>
  </si>
  <si>
    <t>Překlad POROTHERM KP 7 vysoký 70 x 238 x 1500 mm pro orientované uložení</t>
  </si>
  <si>
    <t>25</t>
  </si>
  <si>
    <t>317941123R00</t>
  </si>
  <si>
    <t>Osazení ocelových válcovaných nosníků  č. 14 - 22</t>
  </si>
  <si>
    <t>0,16244</t>
  </si>
  <si>
    <t>26</t>
  </si>
  <si>
    <t>13482720</t>
  </si>
  <si>
    <t>Tyč ocelová IPE 220, S235JR</t>
  </si>
  <si>
    <t>RTS II / 2025</t>
  </si>
  <si>
    <t>;ztratné 8%; 0,0129952</t>
  </si>
  <si>
    <t>317998111R00</t>
  </si>
  <si>
    <t>Izolace, překlady z polystyrenu XPS tl. 50 mm</t>
  </si>
  <si>
    <t>m</t>
  </si>
  <si>
    <t>3,1</t>
  </si>
  <si>
    <t>34</t>
  </si>
  <si>
    <t>Stěny a příčky</t>
  </si>
  <si>
    <t>28</t>
  </si>
  <si>
    <t>342265122RT7</t>
  </si>
  <si>
    <t>Úprava podkroví sádrokarton. na ocel. rošt, šikmá</t>
  </si>
  <si>
    <t>34_</t>
  </si>
  <si>
    <t>desky standard impreg. tl. 12,5 mm, bez izolace</t>
  </si>
  <si>
    <t>4*7,1*2</t>
  </si>
  <si>
    <t>29</t>
  </si>
  <si>
    <t>342265192R00</t>
  </si>
  <si>
    <t>Příplatek za otvor v podhledu podkroví pl. 0,50 m2</t>
  </si>
  <si>
    <t>41</t>
  </si>
  <si>
    <t>Stropy a stropní konstrukce (pro pozemní stavby)</t>
  </si>
  <si>
    <t>30</t>
  </si>
  <si>
    <t>417321315R00</t>
  </si>
  <si>
    <t>Ztužující pásy a věnce z betonu železového C 20/25</t>
  </si>
  <si>
    <t>41_</t>
  </si>
  <si>
    <t>_4_</t>
  </si>
  <si>
    <t>(7,4+7,4+6,3+6,3)*0,25*0,25</t>
  </si>
  <si>
    <t>417351115R00</t>
  </si>
  <si>
    <t>Bednění ztužujících pásů a věnců - zřízení</t>
  </si>
  <si>
    <t>(7,4+7,4+6,3+6,3)*0,3*2</t>
  </si>
  <si>
    <t>32</t>
  </si>
  <si>
    <t>417351116R00</t>
  </si>
  <si>
    <t>Bednění ztužujících pásů a věnců - odstranění</t>
  </si>
  <si>
    <t>33</t>
  </si>
  <si>
    <t>417361821R00</t>
  </si>
  <si>
    <t>Výztuž ztužujících pásů a věnců z oceli B500B (10 505)</t>
  </si>
  <si>
    <t>0,154</t>
  </si>
  <si>
    <t>411135004R00</t>
  </si>
  <si>
    <t>Montáž stropních panelů z předpjatého betonu typu Spiroll, hmotnosti do 7 t, délky do 9 m</t>
  </si>
  <si>
    <t>35</t>
  </si>
  <si>
    <t>59346811</t>
  </si>
  <si>
    <t>Panel stropní SPIROLL</t>
  </si>
  <si>
    <t>5*6</t>
  </si>
  <si>
    <t>2*2,35</t>
  </si>
  <si>
    <t>36</t>
  </si>
  <si>
    <t>416021123R00</t>
  </si>
  <si>
    <t>Podhledy SDK, kovová.kce CD. 1x deska RBI 12,5 mm</t>
  </si>
  <si>
    <t>38,76</t>
  </si>
  <si>
    <t>37</t>
  </si>
  <si>
    <t>411361821R00</t>
  </si>
  <si>
    <t>Výztuž stropů z betonářské oceli B500B (10 505)</t>
  </si>
  <si>
    <t>0,0534</t>
  </si>
  <si>
    <t>výztuž mezi panely</t>
  </si>
  <si>
    <t>59</t>
  </si>
  <si>
    <t>Kryty pozemních komunikací, letišť a ploch dlážděných (předlažby)</t>
  </si>
  <si>
    <t>38</t>
  </si>
  <si>
    <t>596215021R00</t>
  </si>
  <si>
    <t>Kladení zámkové dlažby tl. 6 cm do drtě tl. 4 cm</t>
  </si>
  <si>
    <t>59_</t>
  </si>
  <si>
    <t>_5_</t>
  </si>
  <si>
    <t>5,2</t>
  </si>
  <si>
    <t>39</t>
  </si>
  <si>
    <t>59245308</t>
  </si>
  <si>
    <t>Dlažba BEST KLASIKO standard přírodní 200 x 100 x 60 mm</t>
  </si>
  <si>
    <t>40</t>
  </si>
  <si>
    <t>591211211R00</t>
  </si>
  <si>
    <t>Kladení dlažby drobné kostky, lože z drti tl. 5 cm</t>
  </si>
  <si>
    <t>58380120.A</t>
  </si>
  <si>
    <t>Kostka dlažební žulová štípaná, drobná 80 až 100 mm, třída I</t>
  </si>
  <si>
    <t>42</t>
  </si>
  <si>
    <t>596715021R00</t>
  </si>
  <si>
    <t>Kladení vodicí linie z dlažby tl.6 cm, drť tl.4 cm</t>
  </si>
  <si>
    <t>0,5</t>
  </si>
  <si>
    <t>43</t>
  </si>
  <si>
    <t>59245267</t>
  </si>
  <si>
    <t>Dlažba BEST KLASIKO standard červená pro nevidomé 200 x 100 x 60 mm</t>
  </si>
  <si>
    <t>60</t>
  </si>
  <si>
    <t>Omítky ze suchých směsí</t>
  </si>
  <si>
    <t>44</t>
  </si>
  <si>
    <t>602011180RT6</t>
  </si>
  <si>
    <t>Omítka na stěnách silikonová, ručně</t>
  </si>
  <si>
    <t>60_</t>
  </si>
  <si>
    <t>_6_</t>
  </si>
  <si>
    <t>bílá, zatíraná, zrnitost 1,5 mm</t>
  </si>
  <si>
    <t>18,53+24,94+18,53+1,89</t>
  </si>
  <si>
    <t>5,93+5,93+2,12</t>
  </si>
  <si>
    <t>plotová zeď</t>
  </si>
  <si>
    <t>61</t>
  </si>
  <si>
    <t>Úprava povrchů vnitřní</t>
  </si>
  <si>
    <t>45</t>
  </si>
  <si>
    <t>612421637R00</t>
  </si>
  <si>
    <t>Omítka vnitřní zdiva, MVC, štuková</t>
  </si>
  <si>
    <t>61_</t>
  </si>
  <si>
    <t>(6,8+6,8+5,7+5,7)*2,4</t>
  </si>
  <si>
    <t>-0,9*2,1</t>
  </si>
  <si>
    <t>46</t>
  </si>
  <si>
    <t>612425931R00</t>
  </si>
  <si>
    <t>Omítka vápenná vnitřního ostění - štuková</t>
  </si>
  <si>
    <t>(1,25+0,75+0,75)*0,15</t>
  </si>
  <si>
    <t>(0,9+2,1+2,1)*0,15</t>
  </si>
  <si>
    <t>62</t>
  </si>
  <si>
    <t>Úprava povrchů vnější</t>
  </si>
  <si>
    <t>47</t>
  </si>
  <si>
    <t>622421131R00</t>
  </si>
  <si>
    <t>Omítka vnější stěn, MVC, hladká, složitost 1-2</t>
  </si>
  <si>
    <t>62_</t>
  </si>
  <si>
    <t>63</t>
  </si>
  <si>
    <t>Podlahy a podlahové konstrukce</t>
  </si>
  <si>
    <t>48</t>
  </si>
  <si>
    <t>632421180R00</t>
  </si>
  <si>
    <t>Potěr WEBER Saint-Gobain,ručně zpracovaný,tl.65 mm</t>
  </si>
  <si>
    <t>63_</t>
  </si>
  <si>
    <t>49</t>
  </si>
  <si>
    <t>632411115R00</t>
  </si>
  <si>
    <t>Potěr ze SMS Cemix, ruční zpracování, tl. 15 mm</t>
  </si>
  <si>
    <t>samonivelační anhydritový potěr 25 MPa</t>
  </si>
  <si>
    <t>711</t>
  </si>
  <si>
    <t>Izolace proti vodě</t>
  </si>
  <si>
    <t>50</t>
  </si>
  <si>
    <t>711111001RZ1</t>
  </si>
  <si>
    <t>Provedení izolace proti vlhkosti na ploše vodorovné, 1x asfaltovým penetračním nátěrem</t>
  </si>
  <si>
    <t>711_</t>
  </si>
  <si>
    <t>_71_</t>
  </si>
  <si>
    <t>včetně dodávky asfaltového penetračního laku</t>
  </si>
  <si>
    <t>7,4*6,3</t>
  </si>
  <si>
    <t>51</t>
  </si>
  <si>
    <t>711141559RT2</t>
  </si>
  <si>
    <t>Provedení izolace proti vlhkosti na ploše vodorovné, asfaltovými pásy přitavením</t>
  </si>
  <si>
    <t>2 vrstvy - pásy ve specifikaci</t>
  </si>
  <si>
    <t>52</t>
  </si>
  <si>
    <t>62852265</t>
  </si>
  <si>
    <t>Pás asfaltový modifikovaný GLASTEK 40 SPECIAL mineral, natavovací, kotvicí</t>
  </si>
  <si>
    <t>;ztratné 5%; 2,331</t>
  </si>
  <si>
    <t>53</t>
  </si>
  <si>
    <t>62856000</t>
  </si>
  <si>
    <t>Pás asfaltový modifikovaný DEK R13</t>
  </si>
  <si>
    <t>46,62</t>
  </si>
  <si>
    <t>54</t>
  </si>
  <si>
    <t>711142559RY2</t>
  </si>
  <si>
    <t>Provedení izolace proti vlhkosti na ploše svislé, asfaltovými pásy přitavením</t>
  </si>
  <si>
    <t>1 vrstva - včetně dod. Glastek 40 special mineral</t>
  </si>
  <si>
    <t>(7,4+7,4+6,3)*0,95</t>
  </si>
  <si>
    <t>55</t>
  </si>
  <si>
    <t>711823121RT3</t>
  </si>
  <si>
    <t>Montáž nopové fólie svisle</t>
  </si>
  <si>
    <t>včetně dodávky fólie DELTA MS</t>
  </si>
  <si>
    <t>56</t>
  </si>
  <si>
    <t>711823129RT2</t>
  </si>
  <si>
    <t>Montáž ukončovací lišty k nopové fólii</t>
  </si>
  <si>
    <t>včetně dodávky lišty DELTA-MS PROFIL</t>
  </si>
  <si>
    <t>7,4+7,4+6,3</t>
  </si>
  <si>
    <t>57</t>
  </si>
  <si>
    <t>998711101R00</t>
  </si>
  <si>
    <t>Přesun hmot pro izolace proti vodě, výšky do 6 m</t>
  </si>
  <si>
    <t>713</t>
  </si>
  <si>
    <t>Izolace tepelné</t>
  </si>
  <si>
    <t>58</t>
  </si>
  <si>
    <t>713111211RK4</t>
  </si>
  <si>
    <t>Montáž parozábrany, krovů spodem s přelepením spojů</t>
  </si>
  <si>
    <t>713_</t>
  </si>
  <si>
    <t>včetně dodávky parotěsné fólie</t>
  </si>
  <si>
    <t>721</t>
  </si>
  <si>
    <t>Vnitřní kanalizace</t>
  </si>
  <si>
    <t>721242110RT2</t>
  </si>
  <si>
    <t>Lapač střešních splavenin PP HL600, kloub</t>
  </si>
  <si>
    <t>721_</t>
  </si>
  <si>
    <t>_72_</t>
  </si>
  <si>
    <t>zápachová klapka, koš na listí, DN 125 mm</t>
  </si>
  <si>
    <t>998721101R00</t>
  </si>
  <si>
    <t>Přesun hmot pro vnitřní kanalizaci, výšky do 6 m</t>
  </si>
  <si>
    <t>762</t>
  </si>
  <si>
    <t>Konstrukce tesařské</t>
  </si>
  <si>
    <t>762900030RAB</t>
  </si>
  <si>
    <t>Demontáž dřevěného krovu</t>
  </si>
  <si>
    <t>762_</t>
  </si>
  <si>
    <t>_76_</t>
  </si>
  <si>
    <t>s bedněním</t>
  </si>
  <si>
    <t>4,63*8</t>
  </si>
  <si>
    <t>5,28*8</t>
  </si>
  <si>
    <t>762332110R00</t>
  </si>
  <si>
    <t>Montáž vázaných krovů pravidelných do 120 cm2</t>
  </si>
  <si>
    <t>50,4+14,4</t>
  </si>
  <si>
    <t>60515230</t>
  </si>
  <si>
    <t>Hranol stavební SM do 140 x 140mm</t>
  </si>
  <si>
    <t>2,445</t>
  </si>
  <si>
    <t>;ztratné 5%; 0,12225</t>
  </si>
  <si>
    <t>64</t>
  </si>
  <si>
    <t>762332120R00</t>
  </si>
  <si>
    <t>Montáž vázaných krovů pravidelných do 224 cm2</t>
  </si>
  <si>
    <t>80</t>
  </si>
  <si>
    <t>65</t>
  </si>
  <si>
    <t>762342206RT4</t>
  </si>
  <si>
    <t>Montáž kontralatí na vruty, s těsnicí páskou</t>
  </si>
  <si>
    <t>včetně dodávky impregnovaných latí 4/6 cm</t>
  </si>
  <si>
    <t>70,06</t>
  </si>
  <si>
    <t>66</t>
  </si>
  <si>
    <t>762342203RT4</t>
  </si>
  <si>
    <t>Montáž laťování střech, vzdálenost latí 22 - 36 cm</t>
  </si>
  <si>
    <t>včetně dodávky řeziva, impregnované latě 4/6 cm</t>
  </si>
  <si>
    <t>67</t>
  </si>
  <si>
    <t>998762102R00</t>
  </si>
  <si>
    <t>Přesun hmot pro tesařské konstrukce, výšky do 12 m</t>
  </si>
  <si>
    <t>764</t>
  </si>
  <si>
    <t>Konstrukce klempířské</t>
  </si>
  <si>
    <t>68</t>
  </si>
  <si>
    <t>764311832RT1</t>
  </si>
  <si>
    <t>Demontáž krytiny, tabule 2 x 1 m, nad 25 m2, do 45°</t>
  </si>
  <si>
    <t>764_</t>
  </si>
  <si>
    <t>z Pz plechu</t>
  </si>
  <si>
    <t>69</t>
  </si>
  <si>
    <t>764311242RT1</t>
  </si>
  <si>
    <t>Krytina z Pz svitků š. 670 mm, šikmá střecha sklon do 45°</t>
  </si>
  <si>
    <t>plocha nad 25 m2</t>
  </si>
  <si>
    <t>70</t>
  </si>
  <si>
    <t>764901203RT3</t>
  </si>
  <si>
    <t>Štítové lemování vrchní</t>
  </si>
  <si>
    <t>4,6*2</t>
  </si>
  <si>
    <t>71</t>
  </si>
  <si>
    <t>764901205RT3</t>
  </si>
  <si>
    <t>Okapový plech</t>
  </si>
  <si>
    <t>RŠ 205 mm</t>
  </si>
  <si>
    <t>7,1+7,1</t>
  </si>
  <si>
    <t>72</t>
  </si>
  <si>
    <t>764906319RS4</t>
  </si>
  <si>
    <t>Lemování ke zdi</t>
  </si>
  <si>
    <t>73</t>
  </si>
  <si>
    <t>764908102R00</t>
  </si>
  <si>
    <t>Lindab kotlík žlabový kónický SOK,vel.žlabu 150 mm</t>
  </si>
  <si>
    <t>74</t>
  </si>
  <si>
    <t>764908105R00</t>
  </si>
  <si>
    <t>Lindab žlab podokapní půlkruhový R,velikost 150 mm</t>
  </si>
  <si>
    <t>7,1*2</t>
  </si>
  <si>
    <t>75</t>
  </si>
  <si>
    <t>764908109R00</t>
  </si>
  <si>
    <t>Lindab odpadní trouby kruhové SROR, D 100 mm</t>
  </si>
  <si>
    <t>2,3*2</t>
  </si>
  <si>
    <t>76</t>
  </si>
  <si>
    <t>764908305R00</t>
  </si>
  <si>
    <t>Lindab, oplechování parapetů, rš 200 mm, enkolit</t>
  </si>
  <si>
    <t>1,25</t>
  </si>
  <si>
    <t>77</t>
  </si>
  <si>
    <t>764906327R00</t>
  </si>
  <si>
    <t>Střešní vikýř, 600x600 mm</t>
  </si>
  <si>
    <t>78</t>
  </si>
  <si>
    <t>764393291R00</t>
  </si>
  <si>
    <t>Montáž hřebene střechy z Pz plechu</t>
  </si>
  <si>
    <t>7,1</t>
  </si>
  <si>
    <t>79</t>
  </si>
  <si>
    <t>553452124</t>
  </si>
  <si>
    <t>Hřebenáč rš 500 mm, dl. 2000mm</t>
  </si>
  <si>
    <t>3,55</t>
  </si>
  <si>
    <t>764901323RT2</t>
  </si>
  <si>
    <t>Sněhová zábrana trubková pro krytinu z Pz plechu s povrchovou úpravou</t>
  </si>
  <si>
    <t>Barva</t>
  </si>
  <si>
    <t>81</t>
  </si>
  <si>
    <t>998764101R00</t>
  </si>
  <si>
    <t>Přesun hmot pro klempířské konstr., výšky do 6 m</t>
  </si>
  <si>
    <t>765</t>
  </si>
  <si>
    <t>Krytina tvrdá</t>
  </si>
  <si>
    <t>82</t>
  </si>
  <si>
    <t>765799311RK4</t>
  </si>
  <si>
    <t>Montáž fólie na krokve přibitím se slepením spojů</t>
  </si>
  <si>
    <t>765_</t>
  </si>
  <si>
    <t>podstřešní difúzní fólie Jutafol D 140 speciál</t>
  </si>
  <si>
    <t>83</t>
  </si>
  <si>
    <t>998765101R00</t>
  </si>
  <si>
    <t>Přesun hmot pro krytiny tvrdé, výšky do 6 m</t>
  </si>
  <si>
    <t>766</t>
  </si>
  <si>
    <t>Konstrukce truhlářské</t>
  </si>
  <si>
    <t>84</t>
  </si>
  <si>
    <t>766427112R00</t>
  </si>
  <si>
    <t>Podkladový rošt pro obložení podhledů</t>
  </si>
  <si>
    <t>766_</t>
  </si>
  <si>
    <t>0,4*14*2</t>
  </si>
  <si>
    <t>85</t>
  </si>
  <si>
    <t>60510062</t>
  </si>
  <si>
    <t>Lať impregnovaná SM jakost I-II 40 x 60 mm</t>
  </si>
  <si>
    <t>11,2</t>
  </si>
  <si>
    <t>;ztratné 5%; 0,56</t>
  </si>
  <si>
    <t>86</t>
  </si>
  <si>
    <t>766421213R00</t>
  </si>
  <si>
    <t>Obložení podhledů jednod. palubkami SM š. do 10 cm</t>
  </si>
  <si>
    <t>0,4*7,1*2</t>
  </si>
  <si>
    <t>87</t>
  </si>
  <si>
    <t>61191684</t>
  </si>
  <si>
    <t>Palubka obkladová SM jakost A/B, tl. 19 mm, šířka 116 mm</t>
  </si>
  <si>
    <t>;ztratné 5%; 0,284</t>
  </si>
  <si>
    <t>88</t>
  </si>
  <si>
    <t>766711021RT2</t>
  </si>
  <si>
    <t>Montáž vstupních dveří s vypěněním</t>
  </si>
  <si>
    <t>na úchytky a hmoždinky</t>
  </si>
  <si>
    <t>0,9+0,9+2,1+2,1</t>
  </si>
  <si>
    <t>89</t>
  </si>
  <si>
    <t>61174111</t>
  </si>
  <si>
    <t>Dveře plastové vchodové 900 x 2100 mm L/P, fólie, plné, včetně zárubně</t>
  </si>
  <si>
    <t>90</t>
  </si>
  <si>
    <t>766711001R00</t>
  </si>
  <si>
    <t>Montáž plastových a dřevěných oken a balkonových dveří s vypěněním</t>
  </si>
  <si>
    <t>1,25+1,25+0,75+0,75</t>
  </si>
  <si>
    <t>91</t>
  </si>
  <si>
    <t>61143961</t>
  </si>
  <si>
    <t>Okno plastové se sklopným křídlem, 7 komor, 82 mm, oboustranně bílé</t>
  </si>
  <si>
    <t>1,25*0,75</t>
  </si>
  <si>
    <t>92</t>
  </si>
  <si>
    <t>998766101R00</t>
  </si>
  <si>
    <t>Přesun hmot pro truhlářské konstr., výšky do 6 m</t>
  </si>
  <si>
    <t>767</t>
  </si>
  <si>
    <t>Konstrukce doplňkové stavební (zámečnické)</t>
  </si>
  <si>
    <t>93</t>
  </si>
  <si>
    <t>767654210R00</t>
  </si>
  <si>
    <t>Montáž vrat posuvných do oc.konstrukce, pl.do 6 m2</t>
  </si>
  <si>
    <t>767_</t>
  </si>
  <si>
    <t>94</t>
  </si>
  <si>
    <t>5534451020</t>
  </si>
  <si>
    <t>Vrata ocelová sekční LOMAX DELTA privátní 2600 x 2100 mm, elektropohon</t>
  </si>
  <si>
    <t>95</t>
  </si>
  <si>
    <t>998767101R00</t>
  </si>
  <si>
    <t>Přesun hmot pro zámečnické konstr., výšky do 6 m</t>
  </si>
  <si>
    <t>783</t>
  </si>
  <si>
    <t>Nátěry</t>
  </si>
  <si>
    <t>96</t>
  </si>
  <si>
    <t>783226100R00</t>
  </si>
  <si>
    <t>Nátěr syntetický kovových konstrukcí základní</t>
  </si>
  <si>
    <t>783_</t>
  </si>
  <si>
    <t>_78_</t>
  </si>
  <si>
    <t>8,184</t>
  </si>
  <si>
    <t>97</t>
  </si>
  <si>
    <t>783781001R00</t>
  </si>
  <si>
    <t>Nátěr tesařských konstrukcí impregnace</t>
  </si>
  <si>
    <t>6,34+48+24,19</t>
  </si>
  <si>
    <t>784</t>
  </si>
  <si>
    <t>Malby</t>
  </si>
  <si>
    <t>98</t>
  </si>
  <si>
    <t>784121101R00</t>
  </si>
  <si>
    <t>Penetrace podkladu nátěrem, 1 x</t>
  </si>
  <si>
    <t>784_</t>
  </si>
  <si>
    <t>99</t>
  </si>
  <si>
    <t>784125212R00</t>
  </si>
  <si>
    <t>Malba, bílá, bez penetrace,2x</t>
  </si>
  <si>
    <t>Potrubí z trub plastických, skleněných a čedičových</t>
  </si>
  <si>
    <t>100</t>
  </si>
  <si>
    <t>871313121RU2</t>
  </si>
  <si>
    <t>Montáž trub kanaliz. z plastu, hrdlových, DN 150</t>
  </si>
  <si>
    <t>87_</t>
  </si>
  <si>
    <t>_8_</t>
  </si>
  <si>
    <t>včetně dodávky trub KG SN4 125x3,2x5000</t>
  </si>
  <si>
    <t>Lešení a stavební výtahy</t>
  </si>
  <si>
    <t>101</t>
  </si>
  <si>
    <t>941941031R00</t>
  </si>
  <si>
    <t>Montáž lešení lehkého řadového s podlahami, š. do 1 m, výšky do 10 m</t>
  </si>
  <si>
    <t>94_</t>
  </si>
  <si>
    <t>_9_</t>
  </si>
  <si>
    <t>102</t>
  </si>
  <si>
    <t>941941111R00</t>
  </si>
  <si>
    <t>Pronájem lešení za den</t>
  </si>
  <si>
    <t>71*30</t>
  </si>
  <si>
    <t>103</t>
  </si>
  <si>
    <t>941941831R00</t>
  </si>
  <si>
    <t>Demontáž lešení lehkého řadového s podlahami, š. do 1 m, výšky do 10 m</t>
  </si>
  <si>
    <t>Různé dokončovací konstrukce a práce na pozemních stavbách</t>
  </si>
  <si>
    <t>104</t>
  </si>
  <si>
    <t>959791114R00</t>
  </si>
  <si>
    <t>Odvětrávací trouby z PVC, js 140 mm</t>
  </si>
  <si>
    <t>95_</t>
  </si>
  <si>
    <t>0,3*2</t>
  </si>
  <si>
    <t>Bourání konstrukcí</t>
  </si>
  <si>
    <t>105</t>
  </si>
  <si>
    <t>968061137R00</t>
  </si>
  <si>
    <t>Vyvěšení dřevěných a plastových křídel vrat plochy nad 4 m2</t>
  </si>
  <si>
    <t>96_</t>
  </si>
  <si>
    <t>106</t>
  </si>
  <si>
    <t>968072559R00</t>
  </si>
  <si>
    <t>Vybourání kovových vrat plochy nad 5 m2</t>
  </si>
  <si>
    <t>5,2*2</t>
  </si>
  <si>
    <t>107</t>
  </si>
  <si>
    <t>968061112R00</t>
  </si>
  <si>
    <t>Vyvěšení dřevěných a plastových okenních křídel pl. do 1,5 m2</t>
  </si>
  <si>
    <t>108</t>
  </si>
  <si>
    <t>968061125R00</t>
  </si>
  <si>
    <t>Vyvěšení dřevěných a plastových dveřních křídel pl. do 2 m2</t>
  </si>
  <si>
    <t>109</t>
  </si>
  <si>
    <t>968083001R00</t>
  </si>
  <si>
    <t>Vybourání plastových oken do 1 m2</t>
  </si>
  <si>
    <t>0,5*0,25*2</t>
  </si>
  <si>
    <t>110</t>
  </si>
  <si>
    <t>968083021R00</t>
  </si>
  <si>
    <t>Vybourání plastových dveří plných pl. do 2 m2</t>
  </si>
  <si>
    <t>0,9*2,1</t>
  </si>
  <si>
    <t>111</t>
  </si>
  <si>
    <t>962032231R00</t>
  </si>
  <si>
    <t>Bourání zdiva z cihel pálených na MVC</t>
  </si>
  <si>
    <t>16,80*0,3</t>
  </si>
  <si>
    <t>30,14*0,3</t>
  </si>
  <si>
    <t>3,47*2,8*0,3</t>
  </si>
  <si>
    <t>22,42*0,3</t>
  </si>
  <si>
    <t>-2,6*2*0,3*2</t>
  </si>
  <si>
    <t>-0,5*0,25*2</t>
  </si>
  <si>
    <t>-0,9*2,1*0,3</t>
  </si>
  <si>
    <t>112</t>
  </si>
  <si>
    <t>965042241RT6</t>
  </si>
  <si>
    <t>Bourání mazanin betonových tl. nad 10 cm, nad 4 m2</t>
  </si>
  <si>
    <t>pneumat. kladivo, tl. mazaniny nad 20 cm</t>
  </si>
  <si>
    <t>47,36*0,25</t>
  </si>
  <si>
    <t>113</t>
  </si>
  <si>
    <t>961043111R00</t>
  </si>
  <si>
    <t>Bourání základů z betonu proloženého kamenem</t>
  </si>
  <si>
    <t>(8+7,46+6,98+3,47+8)*0,3*1</t>
  </si>
  <si>
    <t>Prorážení otvorů a ostatní bourací práce</t>
  </si>
  <si>
    <t>114</t>
  </si>
  <si>
    <t>970031160R00</t>
  </si>
  <si>
    <t>Vrtání jádrové do zdiva cihelného do D 160 mm</t>
  </si>
  <si>
    <t>97_</t>
  </si>
  <si>
    <t>0,6</t>
  </si>
  <si>
    <t>H01</t>
  </si>
  <si>
    <t>Budovy občanské výstavby</t>
  </si>
  <si>
    <t>115</t>
  </si>
  <si>
    <t>998011001R00</t>
  </si>
  <si>
    <t>Přesun hmot pro budovy zděné výšky do 6 m</t>
  </si>
  <si>
    <t>H01_</t>
  </si>
  <si>
    <t>60,029</t>
  </si>
  <si>
    <t>H22</t>
  </si>
  <si>
    <t>Komunikace pozemní a letiště</t>
  </si>
  <si>
    <t>116</t>
  </si>
  <si>
    <t>998223011R00</t>
  </si>
  <si>
    <t>Přesun hmot, pozemní komunikace, kryt dlážděný</t>
  </si>
  <si>
    <t>H22_</t>
  </si>
  <si>
    <t>3,03</t>
  </si>
  <si>
    <t>M65001</t>
  </si>
  <si>
    <t>Vedení elektroinstalační</t>
  </si>
  <si>
    <t>117</t>
  </si>
  <si>
    <t>650000010VD</t>
  </si>
  <si>
    <t>Dodávka a montáž elektroinstalace dle PD</t>
  </si>
  <si>
    <t>kpl</t>
  </si>
  <si>
    <t>M65001_</t>
  </si>
  <si>
    <t>118</t>
  </si>
  <si>
    <t>650000022VD</t>
  </si>
  <si>
    <t>Přemístění lampy VO</t>
  </si>
  <si>
    <t>S</t>
  </si>
  <si>
    <t>Přesuny sutí</t>
  </si>
  <si>
    <t>119</t>
  </si>
  <si>
    <t>979084216R00</t>
  </si>
  <si>
    <t>Vodorovná doprava vybour. hmot po suchu do 5 km</t>
  </si>
  <si>
    <t>S_</t>
  </si>
  <si>
    <t>89,7</t>
  </si>
  <si>
    <t>120</t>
  </si>
  <si>
    <t>979951111R00</t>
  </si>
  <si>
    <t>Výkup kovů - železný šrot tl. do 4 mm</t>
  </si>
  <si>
    <t>0,5803</t>
  </si>
  <si>
    <t>121</t>
  </si>
  <si>
    <t>979990107R00</t>
  </si>
  <si>
    <t>Poplatek za uložení suti - směs betonu, cihel, dřeva, skupina odpadu 170904</t>
  </si>
  <si>
    <t>84,82</t>
  </si>
  <si>
    <t>122</t>
  </si>
  <si>
    <t>979990161R00</t>
  </si>
  <si>
    <t>Poplatek za uložení - dřevo, skupina odpadu 170201</t>
  </si>
  <si>
    <t>4,3</t>
  </si>
  <si>
    <t>VORN</t>
  </si>
  <si>
    <t>01VRN</t>
  </si>
  <si>
    <t>123</t>
  </si>
  <si>
    <t>012002VRN</t>
  </si>
  <si>
    <t>Geodetické práce</t>
  </si>
  <si>
    <t>Soubor</t>
  </si>
  <si>
    <t>01VRN_</t>
  </si>
  <si>
    <t>_Â _</t>
  </si>
  <si>
    <t>03VRN</t>
  </si>
  <si>
    <t>124</t>
  </si>
  <si>
    <t>030001VRN</t>
  </si>
  <si>
    <t>03VRN_</t>
  </si>
  <si>
    <t>125</t>
  </si>
  <si>
    <t>034002VRN</t>
  </si>
  <si>
    <t>Zabezpečení staveniště - oplocení</t>
  </si>
  <si>
    <t>126</t>
  </si>
  <si>
    <t>039002VRN</t>
  </si>
  <si>
    <t>Odstranění zařízení staveniště</t>
  </si>
  <si>
    <t>04VRN</t>
  </si>
  <si>
    <t>127</t>
  </si>
  <si>
    <t>043002VRN</t>
  </si>
  <si>
    <t>Revize elektro</t>
  </si>
  <si>
    <t>04VRN_</t>
  </si>
  <si>
    <t>07VRN</t>
  </si>
  <si>
    <t>128</t>
  </si>
  <si>
    <t>072002VRN</t>
  </si>
  <si>
    <t>Silniční provoz - DIO, DIR a dopravní značení</t>
  </si>
  <si>
    <t>07VRN_</t>
  </si>
  <si>
    <t>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</si>
</sst>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i/>
      <sz val="10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7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4" fontId="7" fillId="2" borderId="13" xfId="0" applyNumberFormat="1" applyFont="1" applyFill="1" applyBorder="1" applyAlignment="1">
      <alignment horizontal="right" vertical="center"/>
    </xf>
    <xf numFmtId="4" fontId="7" fillId="2" borderId="18" xfId="0" applyNumberFormat="1" applyFont="1" applyFill="1" applyBorder="1" applyAlignment="1">
      <alignment horizontal="right" vertical="center"/>
    </xf>
    <xf numFmtId="0" fontId="9" fillId="0" borderId="40" xfId="0" applyFont="1" applyBorder="1" applyAlignment="1">
      <alignment horizontal="left" vertical="center"/>
    </xf>
    <xf numFmtId="0" fontId="3" fillId="0" borderId="45" xfId="0" applyFont="1" applyBorder="1" applyAlignment="1">
      <alignment horizontal="right" vertical="center"/>
    </xf>
    <xf numFmtId="4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4" fontId="2" fillId="0" borderId="49" xfId="0" applyNumberFormat="1" applyFont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53" xfId="0" applyFont="1" applyBorder="1" applyAlignment="1">
      <alignment horizontal="right" vertical="center"/>
    </xf>
    <xf numFmtId="4" fontId="3" fillId="0" borderId="53" xfId="0" applyNumberFormat="1" applyFont="1" applyBorder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58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63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2" fillId="2" borderId="71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4" fontId="3" fillId="2" borderId="40" xfId="0" applyNumberFormat="1" applyFont="1" applyFill="1" applyBorder="1" applyAlignment="1">
      <alignment horizontal="right" vertical="center"/>
    </xf>
    <xf numFmtId="0" fontId="3" fillId="2" borderId="72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5" xfId="0" applyBorder="1"/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horizontal="right" vertical="center"/>
    </xf>
    <xf numFmtId="0" fontId="0" fillId="0" borderId="6" xfId="0" applyBorder="1"/>
    <xf numFmtId="0" fontId="10" fillId="0" borderId="0" xfId="0" applyFont="1" applyAlignment="1">
      <alignment horizontal="right" vertical="center"/>
    </xf>
    <xf numFmtId="0" fontId="0" fillId="0" borderId="7" xfId="0" applyBorder="1"/>
    <xf numFmtId="0" fontId="0" fillId="0" borderId="8" xfId="0" applyBorder="1"/>
    <xf numFmtId="0" fontId="10" fillId="0" borderId="8" xfId="0" applyFont="1" applyBorder="1" applyAlignment="1">
      <alignment horizontal="left" vertical="center"/>
    </xf>
    <xf numFmtId="4" fontId="10" fillId="0" borderId="8" xfId="0" applyNumberFormat="1" applyFont="1" applyBorder="1" applyAlignment="1">
      <alignment horizontal="right" vertical="center"/>
    </xf>
    <xf numFmtId="0" fontId="0" fillId="0" borderId="9" xfId="0" applyBorder="1"/>
    <xf numFmtId="4" fontId="3" fillId="0" borderId="73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" fontId="2" fillId="0" borderId="6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4" fontId="7" fillId="0" borderId="54" xfId="0" applyNumberFormat="1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7" fillId="0" borderId="52" xfId="0" applyFont="1" applyBorder="1" applyAlignment="1">
      <alignment horizontal="right" vertical="center"/>
    </xf>
    <xf numFmtId="0" fontId="2" fillId="0" borderId="55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2" borderId="40" xfId="0" applyFont="1" applyFill="1" applyBorder="1" applyAlignment="1">
      <alignment horizontal="left" vertical="center" wrapText="1"/>
    </xf>
    <xf numFmtId="0" fontId="3" fillId="2" borderId="4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2" fillId="0" borderId="6" xfId="0" applyNumberFormat="1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workbookViewId="0">
      <selection activeCell="F10" sqref="F10:G11"/>
    </sheetView>
  </sheetViews>
  <sheetFormatPr defaultColWidth="12.109375" defaultRowHeight="15" customHeight="1" x14ac:dyDescent="0.3"/>
  <cols>
    <col min="1" max="1" width="9.109375" customWidth="1"/>
    <col min="2" max="2" width="12.88671875" customWidth="1"/>
    <col min="3" max="3" width="27.109375" customWidth="1"/>
    <col min="4" max="4" width="10" customWidth="1"/>
    <col min="5" max="5" width="14" customWidth="1"/>
    <col min="6" max="6" width="27.109375" customWidth="1"/>
    <col min="7" max="7" width="9.109375" customWidth="1"/>
    <col min="8" max="8" width="12.88671875" customWidth="1"/>
    <col min="9" max="9" width="27.109375" customWidth="1"/>
  </cols>
  <sheetData>
    <row r="1" spans="1:9" ht="54.75" customHeight="1" x14ac:dyDescent="0.3">
      <c r="A1" s="65" t="s">
        <v>0</v>
      </c>
      <c r="B1" s="66"/>
      <c r="C1" s="66"/>
      <c r="D1" s="66"/>
      <c r="E1" s="66"/>
      <c r="F1" s="66"/>
      <c r="G1" s="66"/>
      <c r="H1" s="66"/>
      <c r="I1" s="66"/>
    </row>
    <row r="2" spans="1:9" ht="14.4" x14ac:dyDescent="0.3">
      <c r="A2" s="67" t="s">
        <v>1</v>
      </c>
      <c r="B2" s="68"/>
      <c r="C2" s="76" t="str">
        <f>'Stavební rozpočet'!C2</f>
        <v>Stavební úpravy garáže</v>
      </c>
      <c r="D2" s="77"/>
      <c r="E2" s="74" t="s">
        <v>2</v>
      </c>
      <c r="F2" s="74" t="str">
        <f>'Stavební rozpočet'!I2</f>
        <v> </v>
      </c>
      <c r="G2" s="68"/>
      <c r="H2" s="74" t="s">
        <v>3</v>
      </c>
      <c r="I2" s="79" t="s">
        <v>4</v>
      </c>
    </row>
    <row r="3" spans="1:9" ht="15" customHeight="1" x14ac:dyDescent="0.3">
      <c r="A3" s="69"/>
      <c r="B3" s="70"/>
      <c r="C3" s="78"/>
      <c r="D3" s="78"/>
      <c r="E3" s="70"/>
      <c r="F3" s="70"/>
      <c r="G3" s="70"/>
      <c r="H3" s="70"/>
      <c r="I3" s="80"/>
    </row>
    <row r="4" spans="1:9" ht="14.4" x14ac:dyDescent="0.3">
      <c r="A4" s="71" t="s">
        <v>5</v>
      </c>
      <c r="B4" s="70"/>
      <c r="C4" s="75" t="str">
        <f>'Stavební rozpočet'!C4</f>
        <v xml:space="preserve"> </v>
      </c>
      <c r="D4" s="70"/>
      <c r="E4" s="75" t="s">
        <v>6</v>
      </c>
      <c r="F4" s="75" t="str">
        <f>'Stavební rozpočet'!I4</f>
        <v> </v>
      </c>
      <c r="G4" s="70"/>
      <c r="H4" s="75" t="s">
        <v>3</v>
      </c>
      <c r="I4" s="80" t="s">
        <v>4</v>
      </c>
    </row>
    <row r="5" spans="1:9" ht="15" customHeight="1" x14ac:dyDescent="0.3">
      <c r="A5" s="69"/>
      <c r="B5" s="70"/>
      <c r="C5" s="70"/>
      <c r="D5" s="70"/>
      <c r="E5" s="70"/>
      <c r="F5" s="70"/>
      <c r="G5" s="70"/>
      <c r="H5" s="70"/>
      <c r="I5" s="80"/>
    </row>
    <row r="6" spans="1:9" ht="14.4" x14ac:dyDescent="0.3">
      <c r="A6" s="71" t="s">
        <v>7</v>
      </c>
      <c r="B6" s="70"/>
      <c r="C6" s="75" t="str">
        <f>'Stavební rozpočet'!C6</f>
        <v>Přibyslav</v>
      </c>
      <c r="D6" s="70"/>
      <c r="E6" s="75" t="s">
        <v>8</v>
      </c>
      <c r="F6" s="75" t="str">
        <f>'Stavební rozpočet'!I6</f>
        <v> </v>
      </c>
      <c r="G6" s="70"/>
      <c r="H6" s="75" t="s">
        <v>3</v>
      </c>
      <c r="I6" s="80" t="s">
        <v>4</v>
      </c>
    </row>
    <row r="7" spans="1:9" ht="15" customHeight="1" x14ac:dyDescent="0.3">
      <c r="A7" s="69"/>
      <c r="B7" s="70"/>
      <c r="C7" s="70"/>
      <c r="D7" s="70"/>
      <c r="E7" s="70"/>
      <c r="F7" s="70"/>
      <c r="G7" s="70"/>
      <c r="H7" s="70"/>
      <c r="I7" s="80"/>
    </row>
    <row r="8" spans="1:9" ht="14.4" x14ac:dyDescent="0.3">
      <c r="A8" s="71" t="s">
        <v>9</v>
      </c>
      <c r="B8" s="70"/>
      <c r="C8" s="75">
        <f>'Stavební rozpočet'!G4</f>
        <v>0</v>
      </c>
      <c r="D8" s="70"/>
      <c r="E8" s="75" t="s">
        <v>10</v>
      </c>
      <c r="F8" s="75" t="str">
        <f>'Stavební rozpočet'!G6</f>
        <v xml:space="preserve"> </v>
      </c>
      <c r="G8" s="70"/>
      <c r="H8" s="70" t="s">
        <v>11</v>
      </c>
      <c r="I8" s="81">
        <v>128</v>
      </c>
    </row>
    <row r="9" spans="1:9" ht="14.4" x14ac:dyDescent="0.3">
      <c r="A9" s="69"/>
      <c r="B9" s="70"/>
      <c r="C9" s="70"/>
      <c r="D9" s="70"/>
      <c r="E9" s="70"/>
      <c r="F9" s="70"/>
      <c r="G9" s="70"/>
      <c r="H9" s="70"/>
      <c r="I9" s="80"/>
    </row>
    <row r="10" spans="1:9" ht="14.4" x14ac:dyDescent="0.3">
      <c r="A10" s="71" t="s">
        <v>12</v>
      </c>
      <c r="B10" s="70"/>
      <c r="C10" s="75" t="str">
        <f>'Stavební rozpočet'!C8</f>
        <v xml:space="preserve"> </v>
      </c>
      <c r="D10" s="70"/>
      <c r="E10" s="75" t="s">
        <v>13</v>
      </c>
      <c r="F10" s="75" t="str">
        <f>'Stavební rozpočet'!I8</f>
        <v> </v>
      </c>
      <c r="G10" s="70"/>
      <c r="H10" s="70" t="s">
        <v>14</v>
      </c>
      <c r="I10" s="155">
        <v>45995</v>
      </c>
    </row>
    <row r="11" spans="1:9" ht="14.4" x14ac:dyDescent="0.3">
      <c r="A11" s="72"/>
      <c r="B11" s="73"/>
      <c r="C11" s="73"/>
      <c r="D11" s="73"/>
      <c r="E11" s="73"/>
      <c r="F11" s="73"/>
      <c r="G11" s="73"/>
      <c r="H11" s="73"/>
      <c r="I11" s="83"/>
    </row>
    <row r="12" spans="1:9" ht="22.8" x14ac:dyDescent="0.3">
      <c r="A12" s="84" t="s">
        <v>15</v>
      </c>
      <c r="B12" s="84"/>
      <c r="C12" s="84"/>
      <c r="D12" s="84"/>
      <c r="E12" s="84"/>
      <c r="F12" s="84"/>
      <c r="G12" s="84"/>
      <c r="H12" s="84"/>
      <c r="I12" s="84"/>
    </row>
    <row r="13" spans="1:9" ht="26.25" customHeight="1" x14ac:dyDescent="0.3">
      <c r="A13" s="4" t="s">
        <v>16</v>
      </c>
      <c r="B13" s="85" t="s">
        <v>17</v>
      </c>
      <c r="C13" s="86"/>
      <c r="D13" s="5" t="s">
        <v>18</v>
      </c>
      <c r="E13" s="85" t="s">
        <v>19</v>
      </c>
      <c r="F13" s="86"/>
      <c r="G13" s="5" t="s">
        <v>20</v>
      </c>
      <c r="H13" s="85" t="s">
        <v>21</v>
      </c>
      <c r="I13" s="86"/>
    </row>
    <row r="14" spans="1:9" ht="15.6" x14ac:dyDescent="0.3">
      <c r="A14" s="6" t="s">
        <v>22</v>
      </c>
      <c r="B14" s="7" t="s">
        <v>23</v>
      </c>
      <c r="C14" s="8">
        <f>SUM('Stavební rozpočet'!AB12:AB752)</f>
        <v>0</v>
      </c>
      <c r="D14" s="93" t="s">
        <v>24</v>
      </c>
      <c r="E14" s="94"/>
      <c r="F14" s="8">
        <f>VORN!I15</f>
        <v>0</v>
      </c>
      <c r="G14" s="93" t="s">
        <v>25</v>
      </c>
      <c r="H14" s="94"/>
      <c r="I14" s="9">
        <f>VORN!I21</f>
        <v>0</v>
      </c>
    </row>
    <row r="15" spans="1:9" ht="15.6" x14ac:dyDescent="0.3">
      <c r="A15" s="10" t="s">
        <v>4</v>
      </c>
      <c r="B15" s="7" t="s">
        <v>26</v>
      </c>
      <c r="C15" s="8">
        <f>SUM('Stavební rozpočet'!AC12:AC752)</f>
        <v>0</v>
      </c>
      <c r="D15" s="93" t="s">
        <v>27</v>
      </c>
      <c r="E15" s="94"/>
      <c r="F15" s="8">
        <f>VORN!I16</f>
        <v>0</v>
      </c>
      <c r="G15" s="93" t="s">
        <v>28</v>
      </c>
      <c r="H15" s="94"/>
      <c r="I15" s="9">
        <f>VORN!I22</f>
        <v>0</v>
      </c>
    </row>
    <row r="16" spans="1:9" ht="15.6" x14ac:dyDescent="0.3">
      <c r="A16" s="6" t="s">
        <v>29</v>
      </c>
      <c r="B16" s="7" t="s">
        <v>23</v>
      </c>
      <c r="C16" s="8">
        <f>SUM('Stavební rozpočet'!AD12:AD752)</f>
        <v>0</v>
      </c>
      <c r="D16" s="93" t="s">
        <v>30</v>
      </c>
      <c r="E16" s="94"/>
      <c r="F16" s="8">
        <f>VORN!I17</f>
        <v>0</v>
      </c>
      <c r="G16" s="93" t="s">
        <v>31</v>
      </c>
      <c r="H16" s="94"/>
      <c r="I16" s="9">
        <f>VORN!I23</f>
        <v>0</v>
      </c>
    </row>
    <row r="17" spans="1:9" ht="15.6" x14ac:dyDescent="0.3">
      <c r="A17" s="10" t="s">
        <v>4</v>
      </c>
      <c r="B17" s="7" t="s">
        <v>26</v>
      </c>
      <c r="C17" s="8">
        <f>SUM('Stavební rozpočet'!AE12:AE752)</f>
        <v>0</v>
      </c>
      <c r="D17" s="93" t="s">
        <v>4</v>
      </c>
      <c r="E17" s="94"/>
      <c r="F17" s="9" t="s">
        <v>4</v>
      </c>
      <c r="G17" s="93" t="s">
        <v>32</v>
      </c>
      <c r="H17" s="94"/>
      <c r="I17" s="9">
        <f>VORN!I24</f>
        <v>0</v>
      </c>
    </row>
    <row r="18" spans="1:9" ht="15.6" x14ac:dyDescent="0.3">
      <c r="A18" s="6" t="s">
        <v>33</v>
      </c>
      <c r="B18" s="7" t="s">
        <v>23</v>
      </c>
      <c r="C18" s="8">
        <f>SUM('Stavební rozpočet'!AF12:AF752)</f>
        <v>0</v>
      </c>
      <c r="D18" s="93" t="s">
        <v>4</v>
      </c>
      <c r="E18" s="94"/>
      <c r="F18" s="9" t="s">
        <v>4</v>
      </c>
      <c r="G18" s="93" t="s">
        <v>34</v>
      </c>
      <c r="H18" s="94"/>
      <c r="I18" s="9">
        <f>VORN!I25</f>
        <v>0</v>
      </c>
    </row>
    <row r="19" spans="1:9" ht="15.6" x14ac:dyDescent="0.3">
      <c r="A19" s="10" t="s">
        <v>4</v>
      </c>
      <c r="B19" s="7" t="s">
        <v>26</v>
      </c>
      <c r="C19" s="8">
        <f>SUM('Stavební rozpočet'!AG12:AG752)</f>
        <v>0</v>
      </c>
      <c r="D19" s="93" t="s">
        <v>4</v>
      </c>
      <c r="E19" s="94"/>
      <c r="F19" s="9" t="s">
        <v>4</v>
      </c>
      <c r="G19" s="93" t="s">
        <v>35</v>
      </c>
      <c r="H19" s="94"/>
      <c r="I19" s="9">
        <f>VORN!I26</f>
        <v>0</v>
      </c>
    </row>
    <row r="20" spans="1:9" ht="15.6" x14ac:dyDescent="0.3">
      <c r="A20" s="87" t="s">
        <v>36</v>
      </c>
      <c r="B20" s="88"/>
      <c r="C20" s="8">
        <f>SUM('Stavební rozpočet'!AH12:AH752)</f>
        <v>0</v>
      </c>
      <c r="D20" s="93" t="s">
        <v>4</v>
      </c>
      <c r="E20" s="94"/>
      <c r="F20" s="9" t="s">
        <v>4</v>
      </c>
      <c r="G20" s="93" t="s">
        <v>4</v>
      </c>
      <c r="H20" s="94"/>
      <c r="I20" s="9" t="s">
        <v>4</v>
      </c>
    </row>
    <row r="21" spans="1:9" ht="15.6" x14ac:dyDescent="0.3">
      <c r="A21" s="89" t="s">
        <v>37</v>
      </c>
      <c r="B21" s="90"/>
      <c r="C21" s="11">
        <f>SUM('Stavební rozpočet'!Z12:Z752)</f>
        <v>0</v>
      </c>
      <c r="D21" s="95" t="s">
        <v>4</v>
      </c>
      <c r="E21" s="96"/>
      <c r="F21" s="12" t="s">
        <v>4</v>
      </c>
      <c r="G21" s="95" t="s">
        <v>4</v>
      </c>
      <c r="H21" s="96"/>
      <c r="I21" s="12" t="s">
        <v>4</v>
      </c>
    </row>
    <row r="22" spans="1:9" ht="16.5" customHeight="1" x14ac:dyDescent="0.3">
      <c r="A22" s="91" t="s">
        <v>38</v>
      </c>
      <c r="B22" s="92"/>
      <c r="C22" s="13">
        <f>ROUND(SUM(C14:C21),2)</f>
        <v>0</v>
      </c>
      <c r="D22" s="97" t="s">
        <v>39</v>
      </c>
      <c r="E22" s="92"/>
      <c r="F22" s="13">
        <f>SUM(F14:F21)</f>
        <v>0</v>
      </c>
      <c r="G22" s="97" t="s">
        <v>40</v>
      </c>
      <c r="H22" s="92"/>
      <c r="I22" s="13">
        <f>SUM(I14:I21)</f>
        <v>0</v>
      </c>
    </row>
    <row r="23" spans="1:9" ht="15.6" x14ac:dyDescent="0.3">
      <c r="D23" s="87" t="s">
        <v>41</v>
      </c>
      <c r="E23" s="88"/>
      <c r="F23" s="14">
        <v>0</v>
      </c>
      <c r="G23" s="98" t="s">
        <v>42</v>
      </c>
      <c r="H23" s="88"/>
      <c r="I23" s="8">
        <v>0</v>
      </c>
    </row>
    <row r="24" spans="1:9" ht="15.6" x14ac:dyDescent="0.3">
      <c r="G24" s="87" t="s">
        <v>43</v>
      </c>
      <c r="H24" s="88"/>
      <c r="I24" s="11">
        <f>vorn_sum</f>
        <v>0</v>
      </c>
    </row>
    <row r="25" spans="1:9" ht="15.6" x14ac:dyDescent="0.3">
      <c r="G25" s="87" t="s">
        <v>44</v>
      </c>
      <c r="H25" s="88"/>
      <c r="I25" s="13">
        <v>0</v>
      </c>
    </row>
    <row r="27" spans="1:9" ht="15.6" x14ac:dyDescent="0.3">
      <c r="A27" s="99" t="s">
        <v>45</v>
      </c>
      <c r="B27" s="100"/>
      <c r="C27" s="15">
        <f>ROUND(SUM('Stavební rozpočet'!AJ12:AJ752),2)</f>
        <v>0</v>
      </c>
    </row>
    <row r="28" spans="1:9" ht="15.6" x14ac:dyDescent="0.3">
      <c r="A28" s="101" t="s">
        <v>46</v>
      </c>
      <c r="B28" s="102"/>
      <c r="C28" s="16">
        <f>ROUND(SUM('Stavební rozpočet'!AK12:AK752),2)</f>
        <v>0</v>
      </c>
      <c r="D28" s="103" t="s">
        <v>47</v>
      </c>
      <c r="E28" s="100"/>
      <c r="F28" s="15">
        <f>ROUND(C28*(12/100),2)</f>
        <v>0</v>
      </c>
      <c r="G28" s="103" t="s">
        <v>48</v>
      </c>
      <c r="H28" s="100"/>
      <c r="I28" s="15">
        <f>ROUND(SUM(C27:C29),2)</f>
        <v>0</v>
      </c>
    </row>
    <row r="29" spans="1:9" ht="15.6" x14ac:dyDescent="0.3">
      <c r="A29" s="101" t="s">
        <v>49</v>
      </c>
      <c r="B29" s="102"/>
      <c r="C29" s="16">
        <f>ROUND(SUM('Stavební rozpočet'!AL12:AL752),2)</f>
        <v>0</v>
      </c>
      <c r="D29" s="104" t="s">
        <v>50</v>
      </c>
      <c r="E29" s="102"/>
      <c r="F29" s="16">
        <f>ROUND(C29*(21/100),2)</f>
        <v>0</v>
      </c>
      <c r="G29" s="104" t="s">
        <v>51</v>
      </c>
      <c r="H29" s="102"/>
      <c r="I29" s="16">
        <f>ROUND(SUM(F28:F29)+I28,2)</f>
        <v>0</v>
      </c>
    </row>
    <row r="31" spans="1:9" x14ac:dyDescent="0.3">
      <c r="A31" s="105" t="s">
        <v>52</v>
      </c>
      <c r="B31" s="106"/>
      <c r="C31" s="107"/>
      <c r="D31" s="114" t="s">
        <v>53</v>
      </c>
      <c r="E31" s="106"/>
      <c r="F31" s="107"/>
      <c r="G31" s="114" t="s">
        <v>54</v>
      </c>
      <c r="H31" s="106"/>
      <c r="I31" s="107"/>
    </row>
    <row r="32" spans="1:9" x14ac:dyDescent="0.3">
      <c r="A32" s="108" t="s">
        <v>4</v>
      </c>
      <c r="B32" s="109"/>
      <c r="C32" s="110"/>
      <c r="D32" s="115" t="s">
        <v>4</v>
      </c>
      <c r="E32" s="109"/>
      <c r="F32" s="110"/>
      <c r="G32" s="115" t="s">
        <v>4</v>
      </c>
      <c r="H32" s="109"/>
      <c r="I32" s="110"/>
    </row>
    <row r="33" spans="1:9" x14ac:dyDescent="0.3">
      <c r="A33" s="108" t="s">
        <v>4</v>
      </c>
      <c r="B33" s="109"/>
      <c r="C33" s="110"/>
      <c r="D33" s="115" t="s">
        <v>4</v>
      </c>
      <c r="E33" s="109"/>
      <c r="F33" s="110"/>
      <c r="G33" s="115" t="s">
        <v>4</v>
      </c>
      <c r="H33" s="109"/>
      <c r="I33" s="110"/>
    </row>
    <row r="34" spans="1:9" x14ac:dyDescent="0.3">
      <c r="A34" s="108" t="s">
        <v>4</v>
      </c>
      <c r="B34" s="109"/>
      <c r="C34" s="110"/>
      <c r="D34" s="115" t="s">
        <v>4</v>
      </c>
      <c r="E34" s="109"/>
      <c r="F34" s="110"/>
      <c r="G34" s="115" t="s">
        <v>4</v>
      </c>
      <c r="H34" s="109"/>
      <c r="I34" s="110"/>
    </row>
    <row r="35" spans="1:9" x14ac:dyDescent="0.3">
      <c r="A35" s="111" t="s">
        <v>55</v>
      </c>
      <c r="B35" s="112"/>
      <c r="C35" s="113"/>
      <c r="D35" s="116" t="s">
        <v>55</v>
      </c>
      <c r="E35" s="112"/>
      <c r="F35" s="113"/>
      <c r="G35" s="116" t="s">
        <v>55</v>
      </c>
      <c r="H35" s="112"/>
      <c r="I35" s="113"/>
    </row>
    <row r="36" spans="1:9" ht="14.4" x14ac:dyDescent="0.3">
      <c r="A36" s="17" t="s">
        <v>56</v>
      </c>
    </row>
    <row r="37" spans="1:9" ht="12.75" customHeight="1" x14ac:dyDescent="0.3">
      <c r="A37" s="75" t="s">
        <v>4</v>
      </c>
      <c r="B37" s="70"/>
      <c r="C37" s="70"/>
      <c r="D37" s="70"/>
      <c r="E37" s="70"/>
      <c r="F37" s="70"/>
      <c r="G37" s="70"/>
      <c r="H37" s="70"/>
      <c r="I37" s="70"/>
    </row>
  </sheetData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H2:H3"/>
    <mergeCell ref="H4:H5"/>
    <mergeCell ref="H6:H7"/>
    <mergeCell ref="H8:H9"/>
    <mergeCell ref="H10:H11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workbookViewId="0">
      <selection activeCell="A45" sqref="A45:E45"/>
    </sheetView>
  </sheetViews>
  <sheetFormatPr defaultColWidth="12.109375" defaultRowHeight="15" customHeight="1" x14ac:dyDescent="0.3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7.109375" customWidth="1"/>
    <col min="9" max="9" width="22.88671875" customWidth="1"/>
  </cols>
  <sheetData>
    <row r="1" spans="1:9" ht="54.75" customHeight="1" x14ac:dyDescent="0.3">
      <c r="A1" s="65" t="s">
        <v>57</v>
      </c>
      <c r="B1" s="66"/>
      <c r="C1" s="66"/>
      <c r="D1" s="66"/>
      <c r="E1" s="66"/>
      <c r="F1" s="66"/>
      <c r="G1" s="66"/>
      <c r="H1" s="66"/>
      <c r="I1" s="66"/>
    </row>
    <row r="2" spans="1:9" ht="14.4" x14ac:dyDescent="0.3">
      <c r="A2" s="67" t="s">
        <v>1</v>
      </c>
      <c r="B2" s="68"/>
      <c r="C2" s="76" t="str">
        <f>'Stavební rozpočet'!C2</f>
        <v>Stavební úpravy garáže</v>
      </c>
      <c r="D2" s="77"/>
      <c r="E2" s="74" t="s">
        <v>2</v>
      </c>
      <c r="F2" s="74" t="str">
        <f>'Stavební rozpočet'!I2</f>
        <v> </v>
      </c>
      <c r="G2" s="68"/>
      <c r="H2" s="74" t="s">
        <v>3</v>
      </c>
      <c r="I2" s="79" t="s">
        <v>4</v>
      </c>
    </row>
    <row r="3" spans="1:9" ht="15" customHeight="1" x14ac:dyDescent="0.3">
      <c r="A3" s="69"/>
      <c r="B3" s="70"/>
      <c r="C3" s="78"/>
      <c r="D3" s="78"/>
      <c r="E3" s="70"/>
      <c r="F3" s="70"/>
      <c r="G3" s="70"/>
      <c r="H3" s="70"/>
      <c r="I3" s="80"/>
    </row>
    <row r="4" spans="1:9" ht="14.4" x14ac:dyDescent="0.3">
      <c r="A4" s="71" t="s">
        <v>5</v>
      </c>
      <c r="B4" s="70"/>
      <c r="C4" s="75" t="str">
        <f>'Stavební rozpočet'!C4</f>
        <v xml:space="preserve"> </v>
      </c>
      <c r="D4" s="70"/>
      <c r="E4" s="75" t="s">
        <v>6</v>
      </c>
      <c r="F4" s="75" t="str">
        <f>'Stavební rozpočet'!I4</f>
        <v> </v>
      </c>
      <c r="G4" s="70"/>
      <c r="H4" s="75" t="s">
        <v>3</v>
      </c>
      <c r="I4" s="80" t="s">
        <v>4</v>
      </c>
    </row>
    <row r="5" spans="1:9" ht="15" customHeight="1" x14ac:dyDescent="0.3">
      <c r="A5" s="69"/>
      <c r="B5" s="70"/>
      <c r="C5" s="70"/>
      <c r="D5" s="70"/>
      <c r="E5" s="70"/>
      <c r="F5" s="70"/>
      <c r="G5" s="70"/>
      <c r="H5" s="70"/>
      <c r="I5" s="80"/>
    </row>
    <row r="6" spans="1:9" ht="14.4" x14ac:dyDescent="0.3">
      <c r="A6" s="71" t="s">
        <v>7</v>
      </c>
      <c r="B6" s="70"/>
      <c r="C6" s="75" t="str">
        <f>'Stavební rozpočet'!C6</f>
        <v>Přibyslav</v>
      </c>
      <c r="D6" s="70"/>
      <c r="E6" s="75" t="s">
        <v>8</v>
      </c>
      <c r="F6" s="75" t="str">
        <f>'Stavební rozpočet'!I6</f>
        <v> </v>
      </c>
      <c r="G6" s="70"/>
      <c r="H6" s="75" t="s">
        <v>3</v>
      </c>
      <c r="I6" s="80" t="s">
        <v>4</v>
      </c>
    </row>
    <row r="7" spans="1:9" ht="15" customHeight="1" x14ac:dyDescent="0.3">
      <c r="A7" s="69"/>
      <c r="B7" s="70"/>
      <c r="C7" s="70"/>
      <c r="D7" s="70"/>
      <c r="E7" s="70"/>
      <c r="F7" s="70"/>
      <c r="G7" s="70"/>
      <c r="H7" s="70"/>
      <c r="I7" s="80"/>
    </row>
    <row r="8" spans="1:9" ht="14.4" x14ac:dyDescent="0.3">
      <c r="A8" s="71" t="s">
        <v>9</v>
      </c>
      <c r="B8" s="70"/>
      <c r="C8" s="75">
        <f>'Stavební rozpočet'!G4</f>
        <v>0</v>
      </c>
      <c r="D8" s="70"/>
      <c r="E8" s="75" t="s">
        <v>10</v>
      </c>
      <c r="F8" s="75" t="str">
        <f>'Stavební rozpočet'!G6</f>
        <v xml:space="preserve"> </v>
      </c>
      <c r="G8" s="70"/>
      <c r="H8" s="70" t="s">
        <v>11</v>
      </c>
      <c r="I8" s="81">
        <v>128</v>
      </c>
    </row>
    <row r="9" spans="1:9" ht="14.4" x14ac:dyDescent="0.3">
      <c r="A9" s="69"/>
      <c r="B9" s="70"/>
      <c r="C9" s="70"/>
      <c r="D9" s="70"/>
      <c r="E9" s="70"/>
      <c r="F9" s="70"/>
      <c r="G9" s="70"/>
      <c r="H9" s="70"/>
      <c r="I9" s="80"/>
    </row>
    <row r="10" spans="1:9" ht="14.4" x14ac:dyDescent="0.3">
      <c r="A10" s="71" t="s">
        <v>12</v>
      </c>
      <c r="B10" s="70"/>
      <c r="C10" s="75" t="str">
        <f>'Stavební rozpočet'!C8</f>
        <v xml:space="preserve"> </v>
      </c>
      <c r="D10" s="70"/>
      <c r="E10" s="75" t="s">
        <v>13</v>
      </c>
      <c r="F10" s="75" t="str">
        <f>'Stavební rozpočet'!I8</f>
        <v> </v>
      </c>
      <c r="G10" s="70"/>
      <c r="H10" s="70" t="s">
        <v>14</v>
      </c>
      <c r="I10" s="82">
        <f>'Stavební rozpočet'!G8</f>
        <v>45995</v>
      </c>
    </row>
    <row r="11" spans="1:9" ht="14.4" x14ac:dyDescent="0.3">
      <c r="A11" s="72"/>
      <c r="B11" s="73"/>
      <c r="C11" s="73"/>
      <c r="D11" s="73"/>
      <c r="E11" s="73"/>
      <c r="F11" s="73"/>
      <c r="G11" s="73"/>
      <c r="H11" s="73"/>
      <c r="I11" s="83"/>
    </row>
    <row r="13" spans="1:9" ht="15.6" x14ac:dyDescent="0.3">
      <c r="A13" s="117" t="s">
        <v>58</v>
      </c>
      <c r="B13" s="117"/>
      <c r="C13" s="117"/>
      <c r="D13" s="117"/>
      <c r="E13" s="117"/>
    </row>
    <row r="14" spans="1:9" ht="14.4" x14ac:dyDescent="0.3">
      <c r="A14" s="118" t="s">
        <v>59</v>
      </c>
      <c r="B14" s="119"/>
      <c r="C14" s="119"/>
      <c r="D14" s="119"/>
      <c r="E14" s="120"/>
      <c r="F14" s="18" t="s">
        <v>60</v>
      </c>
      <c r="G14" s="18" t="s">
        <v>61</v>
      </c>
      <c r="H14" s="18" t="s">
        <v>62</v>
      </c>
      <c r="I14" s="18" t="s">
        <v>60</v>
      </c>
    </row>
    <row r="15" spans="1:9" ht="14.4" x14ac:dyDescent="0.3">
      <c r="A15" s="121" t="s">
        <v>24</v>
      </c>
      <c r="B15" s="122"/>
      <c r="C15" s="122"/>
      <c r="D15" s="122"/>
      <c r="E15" s="123"/>
      <c r="F15" s="19">
        <v>0</v>
      </c>
      <c r="G15" s="20" t="s">
        <v>4</v>
      </c>
      <c r="H15" s="20" t="s">
        <v>4</v>
      </c>
      <c r="I15" s="19">
        <f>F15</f>
        <v>0</v>
      </c>
    </row>
    <row r="16" spans="1:9" ht="14.4" x14ac:dyDescent="0.3">
      <c r="A16" s="121" t="s">
        <v>27</v>
      </c>
      <c r="B16" s="122"/>
      <c r="C16" s="122"/>
      <c r="D16" s="122"/>
      <c r="E16" s="123"/>
      <c r="F16" s="19">
        <v>0</v>
      </c>
      <c r="G16" s="20" t="s">
        <v>4</v>
      </c>
      <c r="H16" s="20" t="s">
        <v>4</v>
      </c>
      <c r="I16" s="19">
        <f>F16</f>
        <v>0</v>
      </c>
    </row>
    <row r="17" spans="1:9" ht="14.4" x14ac:dyDescent="0.3">
      <c r="A17" s="124" t="s">
        <v>30</v>
      </c>
      <c r="B17" s="125"/>
      <c r="C17" s="125"/>
      <c r="D17" s="125"/>
      <c r="E17" s="126"/>
      <c r="F17" s="21">
        <v>0</v>
      </c>
      <c r="G17" s="22" t="s">
        <v>4</v>
      </c>
      <c r="H17" s="22" t="s">
        <v>4</v>
      </c>
      <c r="I17" s="21">
        <f>F17</f>
        <v>0</v>
      </c>
    </row>
    <row r="18" spans="1:9" ht="14.4" x14ac:dyDescent="0.3">
      <c r="A18" s="127" t="s">
        <v>63</v>
      </c>
      <c r="B18" s="128"/>
      <c r="C18" s="128"/>
      <c r="D18" s="128"/>
      <c r="E18" s="129"/>
      <c r="F18" s="23" t="s">
        <v>4</v>
      </c>
      <c r="G18" s="24" t="s">
        <v>4</v>
      </c>
      <c r="H18" s="24" t="s">
        <v>4</v>
      </c>
      <c r="I18" s="25">
        <f>SUM(I15:I17)</f>
        <v>0</v>
      </c>
    </row>
    <row r="20" spans="1:9" ht="14.4" x14ac:dyDescent="0.3">
      <c r="A20" s="118" t="s">
        <v>21</v>
      </c>
      <c r="B20" s="119"/>
      <c r="C20" s="119"/>
      <c r="D20" s="119"/>
      <c r="E20" s="120"/>
      <c r="F20" s="18" t="s">
        <v>60</v>
      </c>
      <c r="G20" s="18" t="s">
        <v>61</v>
      </c>
      <c r="H20" s="18" t="s">
        <v>62</v>
      </c>
      <c r="I20" s="18" t="s">
        <v>60</v>
      </c>
    </row>
    <row r="21" spans="1:9" ht="14.4" x14ac:dyDescent="0.3">
      <c r="A21" s="121" t="s">
        <v>25</v>
      </c>
      <c r="B21" s="122"/>
      <c r="C21" s="122"/>
      <c r="D21" s="122"/>
      <c r="E21" s="123"/>
      <c r="F21" s="19">
        <v>0</v>
      </c>
      <c r="G21" s="20" t="s">
        <v>4</v>
      </c>
      <c r="H21" s="20" t="s">
        <v>4</v>
      </c>
      <c r="I21" s="19">
        <f t="shared" ref="I21:I26" si="0">F21</f>
        <v>0</v>
      </c>
    </row>
    <row r="22" spans="1:9" ht="14.4" x14ac:dyDescent="0.3">
      <c r="A22" s="121" t="s">
        <v>28</v>
      </c>
      <c r="B22" s="122"/>
      <c r="C22" s="122"/>
      <c r="D22" s="122"/>
      <c r="E22" s="123"/>
      <c r="F22" s="19">
        <v>0</v>
      </c>
      <c r="G22" s="20" t="s">
        <v>4</v>
      </c>
      <c r="H22" s="20" t="s">
        <v>4</v>
      </c>
      <c r="I22" s="19">
        <f t="shared" si="0"/>
        <v>0</v>
      </c>
    </row>
    <row r="23" spans="1:9" ht="14.4" x14ac:dyDescent="0.3">
      <c r="A23" s="121" t="s">
        <v>31</v>
      </c>
      <c r="B23" s="122"/>
      <c r="C23" s="122"/>
      <c r="D23" s="122"/>
      <c r="E23" s="123"/>
      <c r="F23" s="19">
        <v>0</v>
      </c>
      <c r="G23" s="20" t="s">
        <v>4</v>
      </c>
      <c r="H23" s="20" t="s">
        <v>4</v>
      </c>
      <c r="I23" s="19">
        <f t="shared" si="0"/>
        <v>0</v>
      </c>
    </row>
    <row r="24" spans="1:9" ht="14.4" x14ac:dyDescent="0.3">
      <c r="A24" s="121" t="s">
        <v>32</v>
      </c>
      <c r="B24" s="122"/>
      <c r="C24" s="122"/>
      <c r="D24" s="122"/>
      <c r="E24" s="123"/>
      <c r="F24" s="19">
        <v>0</v>
      </c>
      <c r="G24" s="20" t="s">
        <v>4</v>
      </c>
      <c r="H24" s="20" t="s">
        <v>4</v>
      </c>
      <c r="I24" s="19">
        <f t="shared" si="0"/>
        <v>0</v>
      </c>
    </row>
    <row r="25" spans="1:9" ht="14.4" x14ac:dyDescent="0.3">
      <c r="A25" s="121" t="s">
        <v>34</v>
      </c>
      <c r="B25" s="122"/>
      <c r="C25" s="122"/>
      <c r="D25" s="122"/>
      <c r="E25" s="123"/>
      <c r="F25" s="19">
        <v>0</v>
      </c>
      <c r="G25" s="20" t="s">
        <v>4</v>
      </c>
      <c r="H25" s="20" t="s">
        <v>4</v>
      </c>
      <c r="I25" s="19">
        <f t="shared" si="0"/>
        <v>0</v>
      </c>
    </row>
    <row r="26" spans="1:9" ht="14.4" x14ac:dyDescent="0.3">
      <c r="A26" s="124" t="s">
        <v>35</v>
      </c>
      <c r="B26" s="125"/>
      <c r="C26" s="125"/>
      <c r="D26" s="125"/>
      <c r="E26" s="126"/>
      <c r="F26" s="21">
        <v>0</v>
      </c>
      <c r="G26" s="22" t="s">
        <v>4</v>
      </c>
      <c r="H26" s="22" t="s">
        <v>4</v>
      </c>
      <c r="I26" s="21">
        <f t="shared" si="0"/>
        <v>0</v>
      </c>
    </row>
    <row r="27" spans="1:9" ht="14.4" x14ac:dyDescent="0.3">
      <c r="A27" s="127" t="s">
        <v>64</v>
      </c>
      <c r="B27" s="128"/>
      <c r="C27" s="128"/>
      <c r="D27" s="128"/>
      <c r="E27" s="129"/>
      <c r="F27" s="23" t="s">
        <v>4</v>
      </c>
      <c r="G27" s="24" t="s">
        <v>4</v>
      </c>
      <c r="H27" s="24" t="s">
        <v>4</v>
      </c>
      <c r="I27" s="25">
        <f>SUM(I21:I26)</f>
        <v>0</v>
      </c>
    </row>
    <row r="29" spans="1:9" ht="15.6" x14ac:dyDescent="0.3">
      <c r="A29" s="130" t="s">
        <v>65</v>
      </c>
      <c r="B29" s="131"/>
      <c r="C29" s="131"/>
      <c r="D29" s="131"/>
      <c r="E29" s="132"/>
      <c r="F29" s="133">
        <f>I18+I27</f>
        <v>0</v>
      </c>
      <c r="G29" s="134"/>
      <c r="H29" s="134"/>
      <c r="I29" s="135"/>
    </row>
    <row r="33" spans="1:9" ht="15.6" x14ac:dyDescent="0.3">
      <c r="A33" s="117" t="s">
        <v>66</v>
      </c>
      <c r="B33" s="117"/>
      <c r="C33" s="117"/>
      <c r="D33" s="117"/>
      <c r="E33" s="117"/>
    </row>
    <row r="34" spans="1:9" ht="14.4" x14ac:dyDescent="0.3">
      <c r="A34" s="118" t="s">
        <v>67</v>
      </c>
      <c r="B34" s="119"/>
      <c r="C34" s="119"/>
      <c r="D34" s="119"/>
      <c r="E34" s="120"/>
      <c r="F34" s="18" t="s">
        <v>60</v>
      </c>
      <c r="G34" s="18" t="s">
        <v>61</v>
      </c>
      <c r="H34" s="18" t="s">
        <v>62</v>
      </c>
      <c r="I34" s="18" t="s">
        <v>60</v>
      </c>
    </row>
    <row r="35" spans="1:9" ht="14.4" x14ac:dyDescent="0.3">
      <c r="A35" s="121" t="s">
        <v>68</v>
      </c>
      <c r="B35" s="122"/>
      <c r="C35" s="122"/>
      <c r="D35" s="122"/>
      <c r="E35" s="123"/>
      <c r="F35" s="19">
        <f>SUM('Stavební rozpočet'!BM12:BM752)</f>
        <v>0</v>
      </c>
      <c r="G35" s="20" t="s">
        <v>4</v>
      </c>
      <c r="H35" s="20" t="s">
        <v>4</v>
      </c>
      <c r="I35" s="19">
        <f t="shared" ref="I35:I44" si="1">F35</f>
        <v>0</v>
      </c>
    </row>
    <row r="36" spans="1:9" ht="14.4" x14ac:dyDescent="0.3">
      <c r="A36" s="121" t="s">
        <v>69</v>
      </c>
      <c r="B36" s="122"/>
      <c r="C36" s="122"/>
      <c r="D36" s="122"/>
      <c r="E36" s="123"/>
      <c r="F36" s="19">
        <f>SUM('Stavební rozpočet'!BN12:BN752)</f>
        <v>0</v>
      </c>
      <c r="G36" s="20" t="s">
        <v>4</v>
      </c>
      <c r="H36" s="20" t="s">
        <v>4</v>
      </c>
      <c r="I36" s="19">
        <f t="shared" si="1"/>
        <v>0</v>
      </c>
    </row>
    <row r="37" spans="1:9" ht="14.4" x14ac:dyDescent="0.3">
      <c r="A37" s="121" t="s">
        <v>25</v>
      </c>
      <c r="B37" s="122"/>
      <c r="C37" s="122"/>
      <c r="D37" s="122"/>
      <c r="E37" s="123"/>
      <c r="F37" s="19">
        <f>SUM('Stavební rozpočet'!BO12:BO752)</f>
        <v>0</v>
      </c>
      <c r="G37" s="20" t="s">
        <v>4</v>
      </c>
      <c r="H37" s="20" t="s">
        <v>4</v>
      </c>
      <c r="I37" s="19">
        <f t="shared" si="1"/>
        <v>0</v>
      </c>
    </row>
    <row r="38" spans="1:9" ht="14.4" x14ac:dyDescent="0.3">
      <c r="A38" s="121" t="s">
        <v>70</v>
      </c>
      <c r="B38" s="122"/>
      <c r="C38" s="122"/>
      <c r="D38" s="122"/>
      <c r="E38" s="123"/>
      <c r="F38" s="19">
        <f>SUM('Stavební rozpočet'!BP12:BP752)</f>
        <v>0</v>
      </c>
      <c r="G38" s="20" t="s">
        <v>4</v>
      </c>
      <c r="H38" s="20" t="s">
        <v>4</v>
      </c>
      <c r="I38" s="19">
        <f t="shared" si="1"/>
        <v>0</v>
      </c>
    </row>
    <row r="39" spans="1:9" ht="14.4" x14ac:dyDescent="0.3">
      <c r="A39" s="121" t="s">
        <v>71</v>
      </c>
      <c r="B39" s="122"/>
      <c r="C39" s="122"/>
      <c r="D39" s="122"/>
      <c r="E39" s="123"/>
      <c r="F39" s="19">
        <f>SUM('Stavební rozpočet'!BQ12:BQ752)</f>
        <v>0</v>
      </c>
      <c r="G39" s="20" t="s">
        <v>4</v>
      </c>
      <c r="H39" s="20" t="s">
        <v>4</v>
      </c>
      <c r="I39" s="19">
        <f t="shared" si="1"/>
        <v>0</v>
      </c>
    </row>
    <row r="40" spans="1:9" ht="14.4" x14ac:dyDescent="0.3">
      <c r="A40" s="121" t="s">
        <v>31</v>
      </c>
      <c r="B40" s="122"/>
      <c r="C40" s="122"/>
      <c r="D40" s="122"/>
      <c r="E40" s="123"/>
      <c r="F40" s="19">
        <f>SUM('Stavební rozpočet'!BR12:BR752)</f>
        <v>0</v>
      </c>
      <c r="G40" s="20" t="s">
        <v>4</v>
      </c>
      <c r="H40" s="20" t="s">
        <v>4</v>
      </c>
      <c r="I40" s="19">
        <f t="shared" si="1"/>
        <v>0</v>
      </c>
    </row>
    <row r="41" spans="1:9" ht="14.4" x14ac:dyDescent="0.3">
      <c r="A41" s="121" t="s">
        <v>32</v>
      </c>
      <c r="B41" s="122"/>
      <c r="C41" s="122"/>
      <c r="D41" s="122"/>
      <c r="E41" s="123"/>
      <c r="F41" s="19">
        <f>SUM('Stavební rozpočet'!BS12:BS752)</f>
        <v>0</v>
      </c>
      <c r="G41" s="20" t="s">
        <v>4</v>
      </c>
      <c r="H41" s="20" t="s">
        <v>4</v>
      </c>
      <c r="I41" s="19">
        <f t="shared" si="1"/>
        <v>0</v>
      </c>
    </row>
    <row r="42" spans="1:9" ht="14.4" x14ac:dyDescent="0.3">
      <c r="A42" s="121" t="s">
        <v>72</v>
      </c>
      <c r="B42" s="122"/>
      <c r="C42" s="122"/>
      <c r="D42" s="122"/>
      <c r="E42" s="123"/>
      <c r="F42" s="19">
        <f>SUM('Stavební rozpočet'!BT12:BT752)</f>
        <v>0</v>
      </c>
      <c r="G42" s="20" t="s">
        <v>4</v>
      </c>
      <c r="H42" s="20" t="s">
        <v>4</v>
      </c>
      <c r="I42" s="19">
        <f t="shared" si="1"/>
        <v>0</v>
      </c>
    </row>
    <row r="43" spans="1:9" ht="14.4" x14ac:dyDescent="0.3">
      <c r="A43" s="121" t="s">
        <v>73</v>
      </c>
      <c r="B43" s="122"/>
      <c r="C43" s="122"/>
      <c r="D43" s="122"/>
      <c r="E43" s="123"/>
      <c r="F43" s="19">
        <f>SUM('Stavební rozpočet'!BU12:BU752)</f>
        <v>0</v>
      </c>
      <c r="G43" s="20" t="s">
        <v>4</v>
      </c>
      <c r="H43" s="20" t="s">
        <v>4</v>
      </c>
      <c r="I43" s="19">
        <f t="shared" si="1"/>
        <v>0</v>
      </c>
    </row>
    <row r="44" spans="1:9" ht="14.4" x14ac:dyDescent="0.3">
      <c r="A44" s="124" t="s">
        <v>74</v>
      </c>
      <c r="B44" s="125"/>
      <c r="C44" s="125"/>
      <c r="D44" s="125"/>
      <c r="E44" s="126"/>
      <c r="F44" s="21">
        <f>SUM('Stavební rozpočet'!BV12:BV752)</f>
        <v>0</v>
      </c>
      <c r="G44" s="22" t="s">
        <v>4</v>
      </c>
      <c r="H44" s="22" t="s">
        <v>4</v>
      </c>
      <c r="I44" s="21">
        <f t="shared" si="1"/>
        <v>0</v>
      </c>
    </row>
    <row r="45" spans="1:9" ht="14.4" x14ac:dyDescent="0.3">
      <c r="A45" s="127" t="s">
        <v>75</v>
      </c>
      <c r="B45" s="128"/>
      <c r="C45" s="128"/>
      <c r="D45" s="128"/>
      <c r="E45" s="129"/>
      <c r="F45" s="23" t="s">
        <v>4</v>
      </c>
      <c r="G45" s="24" t="s">
        <v>4</v>
      </c>
      <c r="H45" s="24" t="s">
        <v>4</v>
      </c>
      <c r="I45" s="25">
        <f>SUM(I35:I44)</f>
        <v>0</v>
      </c>
    </row>
  </sheetData>
  <mergeCells count="60">
    <mergeCell ref="A41:E41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A10:B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Z379"/>
  <sheetViews>
    <sheetView workbookViewId="0">
      <pane ySplit="11" topLeftCell="A12" activePane="bottomLeft" state="frozen"/>
      <selection pane="bottomLeft" activeCell="G10" sqref="G10"/>
    </sheetView>
  </sheetViews>
  <sheetFormatPr defaultColWidth="12.109375" defaultRowHeight="15" customHeight="1" x14ac:dyDescent="0.3"/>
  <cols>
    <col min="1" max="1" width="4" customWidth="1"/>
    <col min="2" max="2" width="17.88671875" customWidth="1"/>
    <col min="3" max="3" width="42.88671875" customWidth="1"/>
    <col min="4" max="4" width="35.6640625" customWidth="1"/>
    <col min="5" max="5" width="8.44140625" customWidth="1"/>
    <col min="6" max="6" width="12.88671875" customWidth="1"/>
    <col min="7" max="7" width="12" customWidth="1"/>
    <col min="8" max="10" width="15.6640625" customWidth="1"/>
    <col min="11" max="11" width="14.6640625" customWidth="1"/>
    <col min="25" max="75" width="12.109375" hidden="1"/>
    <col min="76" max="76" width="78.5546875" hidden="1" customWidth="1"/>
    <col min="77" max="78" width="12.109375" hidden="1"/>
  </cols>
  <sheetData>
    <row r="1" spans="1:76" ht="54.75" customHeight="1" x14ac:dyDescent="0.3">
      <c r="A1" s="66" t="s">
        <v>76</v>
      </c>
      <c r="B1" s="66"/>
      <c r="C1" s="66"/>
      <c r="D1" s="66"/>
      <c r="E1" s="66"/>
      <c r="F1" s="66"/>
      <c r="G1" s="66"/>
      <c r="H1" s="66"/>
      <c r="I1" s="66"/>
      <c r="J1" s="66"/>
      <c r="K1" s="66"/>
      <c r="AS1" s="26">
        <f>SUM(AJ1:AJ2)</f>
        <v>0</v>
      </c>
      <c r="AT1" s="26">
        <f>SUM(AK1:AK2)</f>
        <v>0</v>
      </c>
      <c r="AU1" s="26">
        <f>SUM(AL1:AL2)</f>
        <v>0</v>
      </c>
    </row>
    <row r="2" spans="1:76" ht="14.4" x14ac:dyDescent="0.3">
      <c r="A2" s="67" t="s">
        <v>1</v>
      </c>
      <c r="B2" s="68"/>
      <c r="C2" s="76" t="s">
        <v>77</v>
      </c>
      <c r="D2" s="77"/>
      <c r="E2" s="68" t="s">
        <v>78</v>
      </c>
      <c r="F2" s="68"/>
      <c r="G2" s="68" t="s">
        <v>79</v>
      </c>
      <c r="H2" s="74" t="s">
        <v>2</v>
      </c>
      <c r="I2" s="68" t="s">
        <v>80</v>
      </c>
      <c r="J2" s="68"/>
      <c r="K2" s="79"/>
    </row>
    <row r="3" spans="1:76" ht="14.4" x14ac:dyDescent="0.3">
      <c r="A3" s="69"/>
      <c r="B3" s="70"/>
      <c r="C3" s="78"/>
      <c r="D3" s="78"/>
      <c r="E3" s="70"/>
      <c r="F3" s="70"/>
      <c r="G3" s="70"/>
      <c r="H3" s="70"/>
      <c r="I3" s="70"/>
      <c r="J3" s="70"/>
      <c r="K3" s="80"/>
    </row>
    <row r="4" spans="1:76" ht="14.4" x14ac:dyDescent="0.3">
      <c r="A4" s="71" t="s">
        <v>5</v>
      </c>
      <c r="B4" s="70"/>
      <c r="C4" s="75" t="s">
        <v>79</v>
      </c>
      <c r="D4" s="70"/>
      <c r="E4" s="70" t="s">
        <v>9</v>
      </c>
      <c r="F4" s="70"/>
      <c r="G4" s="70"/>
      <c r="H4" s="75" t="s">
        <v>6</v>
      </c>
      <c r="I4" s="70" t="s">
        <v>80</v>
      </c>
      <c r="J4" s="70"/>
      <c r="K4" s="80"/>
    </row>
    <row r="5" spans="1:76" ht="14.4" x14ac:dyDescent="0.3">
      <c r="A5" s="69"/>
      <c r="B5" s="70"/>
      <c r="C5" s="70"/>
      <c r="D5" s="70"/>
      <c r="E5" s="70"/>
      <c r="F5" s="70"/>
      <c r="G5" s="70"/>
      <c r="H5" s="70"/>
      <c r="I5" s="70"/>
      <c r="J5" s="70"/>
      <c r="K5" s="80"/>
    </row>
    <row r="6" spans="1:76" ht="14.4" x14ac:dyDescent="0.3">
      <c r="A6" s="71" t="s">
        <v>7</v>
      </c>
      <c r="B6" s="70"/>
      <c r="C6" s="75" t="s">
        <v>81</v>
      </c>
      <c r="D6" s="70"/>
      <c r="E6" s="70" t="s">
        <v>10</v>
      </c>
      <c r="F6" s="70"/>
      <c r="G6" s="70" t="s">
        <v>79</v>
      </c>
      <c r="H6" s="75" t="s">
        <v>8</v>
      </c>
      <c r="I6" s="70" t="s">
        <v>80</v>
      </c>
      <c r="J6" s="70"/>
      <c r="K6" s="80"/>
    </row>
    <row r="7" spans="1:76" ht="14.4" x14ac:dyDescent="0.3">
      <c r="A7" s="69"/>
      <c r="B7" s="70"/>
      <c r="C7" s="70"/>
      <c r="D7" s="70"/>
      <c r="E7" s="70"/>
      <c r="F7" s="70"/>
      <c r="G7" s="70"/>
      <c r="H7" s="70"/>
      <c r="I7" s="70"/>
      <c r="J7" s="70"/>
      <c r="K7" s="80"/>
    </row>
    <row r="8" spans="1:76" ht="14.4" x14ac:dyDescent="0.3">
      <c r="A8" s="71" t="s">
        <v>12</v>
      </c>
      <c r="B8" s="70"/>
      <c r="C8" s="75" t="s">
        <v>79</v>
      </c>
      <c r="D8" s="70"/>
      <c r="E8" s="70" t="s">
        <v>82</v>
      </c>
      <c r="F8" s="70"/>
      <c r="G8" s="154">
        <v>45995</v>
      </c>
      <c r="H8" s="75" t="s">
        <v>13</v>
      </c>
      <c r="I8" s="70" t="s">
        <v>80</v>
      </c>
      <c r="J8" s="70"/>
      <c r="K8" s="80"/>
    </row>
    <row r="9" spans="1:76" ht="14.4" x14ac:dyDescent="0.3">
      <c r="A9" s="136"/>
      <c r="B9" s="137"/>
      <c r="C9" s="137"/>
      <c r="D9" s="137"/>
      <c r="E9" s="137"/>
      <c r="F9" s="137"/>
      <c r="G9" s="137"/>
      <c r="H9" s="137"/>
      <c r="I9" s="137"/>
      <c r="J9" s="137"/>
      <c r="K9" s="138"/>
    </row>
    <row r="10" spans="1:76" ht="14.4" x14ac:dyDescent="0.3">
      <c r="A10" s="27" t="s">
        <v>83</v>
      </c>
      <c r="B10" s="28" t="s">
        <v>84</v>
      </c>
      <c r="C10" s="139" t="s">
        <v>85</v>
      </c>
      <c r="D10" s="140"/>
      <c r="E10" s="28" t="s">
        <v>86</v>
      </c>
      <c r="F10" s="29" t="s">
        <v>87</v>
      </c>
      <c r="G10" s="30" t="s">
        <v>88</v>
      </c>
      <c r="H10" s="143" t="s">
        <v>89</v>
      </c>
      <c r="I10" s="144"/>
      <c r="J10" s="145"/>
      <c r="K10" s="31" t="s">
        <v>90</v>
      </c>
      <c r="BK10" s="32" t="s">
        <v>91</v>
      </c>
      <c r="BL10" s="33" t="s">
        <v>92</v>
      </c>
      <c r="BW10" s="33" t="s">
        <v>93</v>
      </c>
    </row>
    <row r="11" spans="1:76" ht="14.4" x14ac:dyDescent="0.3">
      <c r="A11" s="34" t="s">
        <v>79</v>
      </c>
      <c r="B11" s="35" t="s">
        <v>79</v>
      </c>
      <c r="C11" s="141" t="s">
        <v>94</v>
      </c>
      <c r="D11" s="142"/>
      <c r="E11" s="35" t="s">
        <v>79</v>
      </c>
      <c r="F11" s="35" t="s">
        <v>79</v>
      </c>
      <c r="G11" s="36" t="s">
        <v>95</v>
      </c>
      <c r="H11" s="37" t="s">
        <v>96</v>
      </c>
      <c r="I11" s="38" t="s">
        <v>26</v>
      </c>
      <c r="J11" s="39" t="s">
        <v>97</v>
      </c>
      <c r="K11" s="40" t="s">
        <v>98</v>
      </c>
      <c r="Z11" s="32" t="s">
        <v>99</v>
      </c>
      <c r="AA11" s="32" t="s">
        <v>100</v>
      </c>
      <c r="AB11" s="32" t="s">
        <v>101</v>
      </c>
      <c r="AC11" s="32" t="s">
        <v>102</v>
      </c>
      <c r="AD11" s="32" t="s">
        <v>103</v>
      </c>
      <c r="AE11" s="32" t="s">
        <v>104</v>
      </c>
      <c r="AF11" s="32" t="s">
        <v>105</v>
      </c>
      <c r="AG11" s="32" t="s">
        <v>106</v>
      </c>
      <c r="AH11" s="32" t="s">
        <v>107</v>
      </c>
      <c r="BH11" s="32" t="s">
        <v>108</v>
      </c>
      <c r="BI11" s="32" t="s">
        <v>109</v>
      </c>
      <c r="BJ11" s="32" t="s">
        <v>110</v>
      </c>
    </row>
    <row r="12" spans="1:76" ht="14.4" x14ac:dyDescent="0.3">
      <c r="A12" s="41" t="s">
        <v>4</v>
      </c>
      <c r="B12" s="42" t="s">
        <v>4</v>
      </c>
      <c r="C12" s="146" t="s">
        <v>111</v>
      </c>
      <c r="D12" s="147"/>
      <c r="E12" s="43" t="s">
        <v>79</v>
      </c>
      <c r="F12" s="43" t="s">
        <v>79</v>
      </c>
      <c r="G12" s="43" t="s">
        <v>79</v>
      </c>
      <c r="H12" s="44">
        <f>ROUND(SUM(H13,H16,H25,H30,H38,H46,H70,H92,H98,H116,H129,H136,H145,H151,H157,H180,H184,H189,H208,H241,H246,H267,H273,H278,H297,H301,H308,H311,H337,H340,H343,H346,H351,H361,H364,H371,H374),2)</f>
        <v>0</v>
      </c>
      <c r="I12" s="44">
        <f>ROUND(SUM(I13,I16,I25,I30,I38,I46,I70,I92,I98,I116,I129,I136,I145,I151,I157,I180,I184,I189,I208,I241,I246,I267,I273,I278,I297,I301,I308,I311,I337,I340,I343,I346,I351,I361,I364,I371,I374),2)</f>
        <v>0</v>
      </c>
      <c r="J12" s="44">
        <f>ROUND(SUM(J13,J16,J25,J30,J38,J46,J70,J92,J98,J116,J129,J136,J145,J151,J157,J180,J184,J189,J208,J241,J246,J267,J273,J278,J297,J301,J308,J311,J337,J340,J343,J346,J351,J361,J364,J371,J374),2)</f>
        <v>0</v>
      </c>
      <c r="K12" s="45" t="s">
        <v>4</v>
      </c>
    </row>
    <row r="13" spans="1:76" ht="14.4" x14ac:dyDescent="0.3">
      <c r="A13" s="46" t="s">
        <v>4</v>
      </c>
      <c r="B13" s="47" t="s">
        <v>112</v>
      </c>
      <c r="C13" s="148" t="s">
        <v>113</v>
      </c>
      <c r="D13" s="149"/>
      <c r="E13" s="48" t="s">
        <v>79</v>
      </c>
      <c r="F13" s="48" t="s">
        <v>79</v>
      </c>
      <c r="G13" s="48" t="s">
        <v>79</v>
      </c>
      <c r="H13" s="26">
        <f>ROUND(SUM(H14:H14),2)</f>
        <v>0</v>
      </c>
      <c r="I13" s="26">
        <f>ROUND(SUM(I14:I14),2)</f>
        <v>0</v>
      </c>
      <c r="J13" s="26">
        <f>ROUND(SUM(J14:J14),2)</f>
        <v>0</v>
      </c>
      <c r="K13" s="49" t="s">
        <v>4</v>
      </c>
      <c r="AI13" s="32" t="s">
        <v>4</v>
      </c>
      <c r="AS13" s="26">
        <f>SUM(AJ14:AJ14)</f>
        <v>0</v>
      </c>
      <c r="AT13" s="26">
        <f>SUM(AK14:AK14)</f>
        <v>0</v>
      </c>
      <c r="AU13" s="26">
        <f>SUM(AL14:AL14)</f>
        <v>0</v>
      </c>
    </row>
    <row r="14" spans="1:76" ht="14.4" x14ac:dyDescent="0.3">
      <c r="A14" s="1" t="s">
        <v>114</v>
      </c>
      <c r="B14" s="2" t="s">
        <v>115</v>
      </c>
      <c r="C14" s="75" t="s">
        <v>116</v>
      </c>
      <c r="D14" s="70"/>
      <c r="E14" s="2" t="s">
        <v>117</v>
      </c>
      <c r="F14" s="50">
        <v>7.4744999999999999</v>
      </c>
      <c r="G14" s="50">
        <v>0</v>
      </c>
      <c r="H14" s="50">
        <f>ROUND(F14*AO14,2)</f>
        <v>0</v>
      </c>
      <c r="I14" s="50">
        <f>ROUND(F14*AP14,2)</f>
        <v>0</v>
      </c>
      <c r="J14" s="50">
        <f>ROUND(F14*G14,2)</f>
        <v>0</v>
      </c>
      <c r="K14" s="51" t="s">
        <v>118</v>
      </c>
      <c r="Z14" s="50">
        <f>ROUND(IF(AQ14="5",BJ14,0),2)</f>
        <v>0</v>
      </c>
      <c r="AB14" s="50">
        <f>ROUND(IF(AQ14="1",BH14,0),2)</f>
        <v>0</v>
      </c>
      <c r="AC14" s="50">
        <f>ROUND(IF(AQ14="1",BI14,0),2)</f>
        <v>0</v>
      </c>
      <c r="AD14" s="50">
        <f>ROUND(IF(AQ14="7",BH14,0),2)</f>
        <v>0</v>
      </c>
      <c r="AE14" s="50">
        <f>ROUND(IF(AQ14="7",BI14,0),2)</f>
        <v>0</v>
      </c>
      <c r="AF14" s="50">
        <f>ROUND(IF(AQ14="2",BH14,0),2)</f>
        <v>0</v>
      </c>
      <c r="AG14" s="50">
        <f>ROUND(IF(AQ14="2",BI14,0),2)</f>
        <v>0</v>
      </c>
      <c r="AH14" s="50">
        <f>ROUND(IF(AQ14="0",BJ14,0),2)</f>
        <v>0</v>
      </c>
      <c r="AI14" s="32" t="s">
        <v>4</v>
      </c>
      <c r="AJ14" s="50">
        <f>IF(AN14=0,J14,0)</f>
        <v>0</v>
      </c>
      <c r="AK14" s="50">
        <f>IF(AN14=12,J14,0)</f>
        <v>0</v>
      </c>
      <c r="AL14" s="50">
        <f>IF(AN14=21,J14,0)</f>
        <v>0</v>
      </c>
      <c r="AN14" s="50">
        <v>21</v>
      </c>
      <c r="AO14" s="50">
        <f>G14*0</f>
        <v>0</v>
      </c>
      <c r="AP14" s="50">
        <f>G14*(1-0)</f>
        <v>0</v>
      </c>
      <c r="AQ14" s="52" t="s">
        <v>114</v>
      </c>
      <c r="AV14" s="50">
        <f>ROUND(AW14+AX14,2)</f>
        <v>0</v>
      </c>
      <c r="AW14" s="50">
        <f>ROUND(F14*AO14,2)</f>
        <v>0</v>
      </c>
      <c r="AX14" s="50">
        <f>ROUND(F14*AP14,2)</f>
        <v>0</v>
      </c>
      <c r="AY14" s="52" t="s">
        <v>119</v>
      </c>
      <c r="AZ14" s="52" t="s">
        <v>120</v>
      </c>
      <c r="BA14" s="32" t="s">
        <v>121</v>
      </c>
      <c r="BC14" s="50">
        <f>AW14+AX14</f>
        <v>0</v>
      </c>
      <c r="BD14" s="50">
        <f>G14/(100-BE14)*100</f>
        <v>0</v>
      </c>
      <c r="BE14" s="50">
        <v>0</v>
      </c>
      <c r="BF14" s="50">
        <f>14</f>
        <v>14</v>
      </c>
      <c r="BH14" s="50">
        <f>F14*AO14</f>
        <v>0</v>
      </c>
      <c r="BI14" s="50">
        <f>F14*AP14</f>
        <v>0</v>
      </c>
      <c r="BJ14" s="50">
        <f>F14*G14</f>
        <v>0</v>
      </c>
      <c r="BK14" s="52" t="s">
        <v>122</v>
      </c>
      <c r="BL14" s="50">
        <v>12</v>
      </c>
      <c r="BW14" s="50">
        <v>21</v>
      </c>
      <c r="BX14" s="3" t="s">
        <v>116</v>
      </c>
    </row>
    <row r="15" spans="1:76" ht="14.4" x14ac:dyDescent="0.3">
      <c r="A15" s="53"/>
      <c r="C15" s="54" t="s">
        <v>123</v>
      </c>
      <c r="D15" s="54" t="s">
        <v>4</v>
      </c>
      <c r="F15" s="55">
        <v>7.4744999999999999</v>
      </c>
      <c r="K15" s="56"/>
    </row>
    <row r="16" spans="1:76" ht="14.4" x14ac:dyDescent="0.3">
      <c r="A16" s="46" t="s">
        <v>4</v>
      </c>
      <c r="B16" s="47" t="s">
        <v>124</v>
      </c>
      <c r="C16" s="148" t="s">
        <v>125</v>
      </c>
      <c r="D16" s="149"/>
      <c r="E16" s="48" t="s">
        <v>79</v>
      </c>
      <c r="F16" s="48" t="s">
        <v>79</v>
      </c>
      <c r="G16" s="48" t="s">
        <v>79</v>
      </c>
      <c r="H16" s="26">
        <f>ROUND(SUM(H17:H23),2)</f>
        <v>0</v>
      </c>
      <c r="I16" s="26">
        <f>ROUND(SUM(I17:I23),2)</f>
        <v>0</v>
      </c>
      <c r="J16" s="26">
        <f>ROUND(SUM(J17:J23),2)</f>
        <v>0</v>
      </c>
      <c r="K16" s="49" t="s">
        <v>4</v>
      </c>
      <c r="AI16" s="32" t="s">
        <v>4</v>
      </c>
      <c r="AS16" s="26">
        <f>SUM(AJ17:AJ23)</f>
        <v>0</v>
      </c>
      <c r="AT16" s="26">
        <f>SUM(AK17:AK23)</f>
        <v>0</v>
      </c>
      <c r="AU16" s="26">
        <f>SUM(AL17:AL23)</f>
        <v>0</v>
      </c>
    </row>
    <row r="17" spans="1:76" ht="14.4" x14ac:dyDescent="0.3">
      <c r="A17" s="1" t="s">
        <v>126</v>
      </c>
      <c r="B17" s="2" t="s">
        <v>127</v>
      </c>
      <c r="C17" s="75" t="s">
        <v>128</v>
      </c>
      <c r="D17" s="70"/>
      <c r="E17" s="2" t="s">
        <v>117</v>
      </c>
      <c r="F17" s="50">
        <v>21.298400000000001</v>
      </c>
      <c r="G17" s="50">
        <v>0</v>
      </c>
      <c r="H17" s="50">
        <f>ROUND(F17*AO17,2)</f>
        <v>0</v>
      </c>
      <c r="I17" s="50">
        <f>ROUND(F17*AP17,2)</f>
        <v>0</v>
      </c>
      <c r="J17" s="50">
        <f>ROUND(F17*G17,2)</f>
        <v>0</v>
      </c>
      <c r="K17" s="51" t="s">
        <v>118</v>
      </c>
      <c r="Z17" s="50">
        <f>ROUND(IF(AQ17="5",BJ17,0),2)</f>
        <v>0</v>
      </c>
      <c r="AB17" s="50">
        <f>ROUND(IF(AQ17="1",BH17,0),2)</f>
        <v>0</v>
      </c>
      <c r="AC17" s="50">
        <f>ROUND(IF(AQ17="1",BI17,0),2)</f>
        <v>0</v>
      </c>
      <c r="AD17" s="50">
        <f>ROUND(IF(AQ17="7",BH17,0),2)</f>
        <v>0</v>
      </c>
      <c r="AE17" s="50">
        <f>ROUND(IF(AQ17="7",BI17,0),2)</f>
        <v>0</v>
      </c>
      <c r="AF17" s="50">
        <f>ROUND(IF(AQ17="2",BH17,0),2)</f>
        <v>0</v>
      </c>
      <c r="AG17" s="50">
        <f>ROUND(IF(AQ17="2",BI17,0),2)</f>
        <v>0</v>
      </c>
      <c r="AH17" s="50">
        <f>ROUND(IF(AQ17="0",BJ17,0),2)</f>
        <v>0</v>
      </c>
      <c r="AI17" s="32" t="s">
        <v>4</v>
      </c>
      <c r="AJ17" s="50">
        <f>IF(AN17=0,J17,0)</f>
        <v>0</v>
      </c>
      <c r="AK17" s="50">
        <f>IF(AN17=12,J17,0)</f>
        <v>0</v>
      </c>
      <c r="AL17" s="50">
        <f>IF(AN17=21,J17,0)</f>
        <v>0</v>
      </c>
      <c r="AN17" s="50">
        <v>21</v>
      </c>
      <c r="AO17" s="50">
        <f>G17*0</f>
        <v>0</v>
      </c>
      <c r="AP17" s="50">
        <f>G17*(1-0)</f>
        <v>0</v>
      </c>
      <c r="AQ17" s="52" t="s">
        <v>114</v>
      </c>
      <c r="AV17" s="50">
        <f>ROUND(AW17+AX17,2)</f>
        <v>0</v>
      </c>
      <c r="AW17" s="50">
        <f>ROUND(F17*AO17,2)</f>
        <v>0</v>
      </c>
      <c r="AX17" s="50">
        <f>ROUND(F17*AP17,2)</f>
        <v>0</v>
      </c>
      <c r="AY17" s="52" t="s">
        <v>129</v>
      </c>
      <c r="AZ17" s="52" t="s">
        <v>120</v>
      </c>
      <c r="BA17" s="32" t="s">
        <v>121</v>
      </c>
      <c r="BC17" s="50">
        <f>AW17+AX17</f>
        <v>0</v>
      </c>
      <c r="BD17" s="50">
        <f>G17/(100-BE17)*100</f>
        <v>0</v>
      </c>
      <c r="BE17" s="50">
        <v>0</v>
      </c>
      <c r="BF17" s="50">
        <f>17</f>
        <v>17</v>
      </c>
      <c r="BH17" s="50">
        <f>F17*AO17</f>
        <v>0</v>
      </c>
      <c r="BI17" s="50">
        <f>F17*AP17</f>
        <v>0</v>
      </c>
      <c r="BJ17" s="50">
        <f>F17*G17</f>
        <v>0</v>
      </c>
      <c r="BK17" s="52" t="s">
        <v>122</v>
      </c>
      <c r="BL17" s="50">
        <v>13</v>
      </c>
      <c r="BW17" s="50">
        <v>21</v>
      </c>
      <c r="BX17" s="3" t="s">
        <v>128</v>
      </c>
    </row>
    <row r="18" spans="1:76" ht="14.4" x14ac:dyDescent="0.3">
      <c r="A18" s="53"/>
      <c r="C18" s="54" t="s">
        <v>130</v>
      </c>
      <c r="D18" s="54" t="s">
        <v>4</v>
      </c>
      <c r="F18" s="55">
        <v>21.298400000000001</v>
      </c>
      <c r="K18" s="56"/>
    </row>
    <row r="19" spans="1:76" ht="14.4" x14ac:dyDescent="0.3">
      <c r="A19" s="1" t="s">
        <v>131</v>
      </c>
      <c r="B19" s="2" t="s">
        <v>132</v>
      </c>
      <c r="C19" s="75" t="s">
        <v>133</v>
      </c>
      <c r="D19" s="70"/>
      <c r="E19" s="2" t="s">
        <v>117</v>
      </c>
      <c r="F19" s="50">
        <v>21.298400000000001</v>
      </c>
      <c r="G19" s="50">
        <v>0</v>
      </c>
      <c r="H19" s="50">
        <f>ROUND(F19*AO19,2)</f>
        <v>0</v>
      </c>
      <c r="I19" s="50">
        <f>ROUND(F19*AP19,2)</f>
        <v>0</v>
      </c>
      <c r="J19" s="50">
        <f>ROUND(F19*G19,2)</f>
        <v>0</v>
      </c>
      <c r="K19" s="51" t="s">
        <v>118</v>
      </c>
      <c r="Z19" s="50">
        <f>ROUND(IF(AQ19="5",BJ19,0),2)</f>
        <v>0</v>
      </c>
      <c r="AB19" s="50">
        <f>ROUND(IF(AQ19="1",BH19,0),2)</f>
        <v>0</v>
      </c>
      <c r="AC19" s="50">
        <f>ROUND(IF(AQ19="1",BI19,0),2)</f>
        <v>0</v>
      </c>
      <c r="AD19" s="50">
        <f>ROUND(IF(AQ19="7",BH19,0),2)</f>
        <v>0</v>
      </c>
      <c r="AE19" s="50">
        <f>ROUND(IF(AQ19="7",BI19,0),2)</f>
        <v>0</v>
      </c>
      <c r="AF19" s="50">
        <f>ROUND(IF(AQ19="2",BH19,0),2)</f>
        <v>0</v>
      </c>
      <c r="AG19" s="50">
        <f>ROUND(IF(AQ19="2",BI19,0),2)</f>
        <v>0</v>
      </c>
      <c r="AH19" s="50">
        <f>ROUND(IF(AQ19="0",BJ19,0),2)</f>
        <v>0</v>
      </c>
      <c r="AI19" s="32" t="s">
        <v>4</v>
      </c>
      <c r="AJ19" s="50">
        <f>IF(AN19=0,J19,0)</f>
        <v>0</v>
      </c>
      <c r="AK19" s="50">
        <f>IF(AN19=12,J19,0)</f>
        <v>0</v>
      </c>
      <c r="AL19" s="50">
        <f>IF(AN19=21,J19,0)</f>
        <v>0</v>
      </c>
      <c r="AN19" s="50">
        <v>21</v>
      </c>
      <c r="AO19" s="50">
        <f>G19*0</f>
        <v>0</v>
      </c>
      <c r="AP19" s="50">
        <f>G19*(1-0)</f>
        <v>0</v>
      </c>
      <c r="AQ19" s="52" t="s">
        <v>114</v>
      </c>
      <c r="AV19" s="50">
        <f>ROUND(AW19+AX19,2)</f>
        <v>0</v>
      </c>
      <c r="AW19" s="50">
        <f>ROUND(F19*AO19,2)</f>
        <v>0</v>
      </c>
      <c r="AX19" s="50">
        <f>ROUND(F19*AP19,2)</f>
        <v>0</v>
      </c>
      <c r="AY19" s="52" t="s">
        <v>129</v>
      </c>
      <c r="AZ19" s="52" t="s">
        <v>120</v>
      </c>
      <c r="BA19" s="32" t="s">
        <v>121</v>
      </c>
      <c r="BC19" s="50">
        <f>AW19+AX19</f>
        <v>0</v>
      </c>
      <c r="BD19" s="50">
        <f>G19/(100-BE19)*100</f>
        <v>0</v>
      </c>
      <c r="BE19" s="50">
        <v>0</v>
      </c>
      <c r="BF19" s="50">
        <f>19</f>
        <v>19</v>
      </c>
      <c r="BH19" s="50">
        <f>F19*AO19</f>
        <v>0</v>
      </c>
      <c r="BI19" s="50">
        <f>F19*AP19</f>
        <v>0</v>
      </c>
      <c r="BJ19" s="50">
        <f>F19*G19</f>
        <v>0</v>
      </c>
      <c r="BK19" s="52" t="s">
        <v>122</v>
      </c>
      <c r="BL19" s="50">
        <v>13</v>
      </c>
      <c r="BW19" s="50">
        <v>21</v>
      </c>
      <c r="BX19" s="3" t="s">
        <v>133</v>
      </c>
    </row>
    <row r="20" spans="1:76" ht="14.4" x14ac:dyDescent="0.3">
      <c r="A20" s="53"/>
      <c r="C20" s="54" t="s">
        <v>130</v>
      </c>
      <c r="D20" s="54" t="s">
        <v>4</v>
      </c>
      <c r="F20" s="55">
        <v>21.298400000000001</v>
      </c>
      <c r="K20" s="56"/>
    </row>
    <row r="21" spans="1:76" ht="14.4" x14ac:dyDescent="0.3">
      <c r="A21" s="1" t="s">
        <v>134</v>
      </c>
      <c r="B21" s="2" t="s">
        <v>135</v>
      </c>
      <c r="C21" s="75" t="s">
        <v>136</v>
      </c>
      <c r="D21" s="70"/>
      <c r="E21" s="2" t="s">
        <v>117</v>
      </c>
      <c r="F21" s="50">
        <v>1.44</v>
      </c>
      <c r="G21" s="50">
        <v>0</v>
      </c>
      <c r="H21" s="50">
        <f>ROUND(F21*AO21,2)</f>
        <v>0</v>
      </c>
      <c r="I21" s="50">
        <f>ROUND(F21*AP21,2)</f>
        <v>0</v>
      </c>
      <c r="J21" s="50">
        <f>ROUND(F21*G21,2)</f>
        <v>0</v>
      </c>
      <c r="K21" s="51" t="s">
        <v>118</v>
      </c>
      <c r="Z21" s="50">
        <f>ROUND(IF(AQ21="5",BJ21,0),2)</f>
        <v>0</v>
      </c>
      <c r="AB21" s="50">
        <f>ROUND(IF(AQ21="1",BH21,0),2)</f>
        <v>0</v>
      </c>
      <c r="AC21" s="50">
        <f>ROUND(IF(AQ21="1",BI21,0),2)</f>
        <v>0</v>
      </c>
      <c r="AD21" s="50">
        <f>ROUND(IF(AQ21="7",BH21,0),2)</f>
        <v>0</v>
      </c>
      <c r="AE21" s="50">
        <f>ROUND(IF(AQ21="7",BI21,0),2)</f>
        <v>0</v>
      </c>
      <c r="AF21" s="50">
        <f>ROUND(IF(AQ21="2",BH21,0),2)</f>
        <v>0</v>
      </c>
      <c r="AG21" s="50">
        <f>ROUND(IF(AQ21="2",BI21,0),2)</f>
        <v>0</v>
      </c>
      <c r="AH21" s="50">
        <f>ROUND(IF(AQ21="0",BJ21,0),2)</f>
        <v>0</v>
      </c>
      <c r="AI21" s="32" t="s">
        <v>4</v>
      </c>
      <c r="AJ21" s="50">
        <f>IF(AN21=0,J21,0)</f>
        <v>0</v>
      </c>
      <c r="AK21" s="50">
        <f>IF(AN21=12,J21,0)</f>
        <v>0</v>
      </c>
      <c r="AL21" s="50">
        <f>IF(AN21=21,J21,0)</f>
        <v>0</v>
      </c>
      <c r="AN21" s="50">
        <v>21</v>
      </c>
      <c r="AO21" s="50">
        <f>G21*0</f>
        <v>0</v>
      </c>
      <c r="AP21" s="50">
        <f>G21*(1-0)</f>
        <v>0</v>
      </c>
      <c r="AQ21" s="52" t="s">
        <v>114</v>
      </c>
      <c r="AV21" s="50">
        <f>ROUND(AW21+AX21,2)</f>
        <v>0</v>
      </c>
      <c r="AW21" s="50">
        <f>ROUND(F21*AO21,2)</f>
        <v>0</v>
      </c>
      <c r="AX21" s="50">
        <f>ROUND(F21*AP21,2)</f>
        <v>0</v>
      </c>
      <c r="AY21" s="52" t="s">
        <v>129</v>
      </c>
      <c r="AZ21" s="52" t="s">
        <v>120</v>
      </c>
      <c r="BA21" s="32" t="s">
        <v>121</v>
      </c>
      <c r="BC21" s="50">
        <f>AW21+AX21</f>
        <v>0</v>
      </c>
      <c r="BD21" s="50">
        <f>G21/(100-BE21)*100</f>
        <v>0</v>
      </c>
      <c r="BE21" s="50">
        <v>0</v>
      </c>
      <c r="BF21" s="50">
        <f>21</f>
        <v>21</v>
      </c>
      <c r="BH21" s="50">
        <f>F21*AO21</f>
        <v>0</v>
      </c>
      <c r="BI21" s="50">
        <f>F21*AP21</f>
        <v>0</v>
      </c>
      <c r="BJ21" s="50">
        <f>F21*G21</f>
        <v>0</v>
      </c>
      <c r="BK21" s="52" t="s">
        <v>122</v>
      </c>
      <c r="BL21" s="50">
        <v>13</v>
      </c>
      <c r="BW21" s="50">
        <v>21</v>
      </c>
      <c r="BX21" s="3" t="s">
        <v>136</v>
      </c>
    </row>
    <row r="22" spans="1:76" ht="14.4" x14ac:dyDescent="0.3">
      <c r="A22" s="53"/>
      <c r="C22" s="54" t="s">
        <v>137</v>
      </c>
      <c r="D22" s="54" t="s">
        <v>138</v>
      </c>
      <c r="F22" s="55">
        <v>1.44</v>
      </c>
      <c r="K22" s="56"/>
    </row>
    <row r="23" spans="1:76" ht="14.4" x14ac:dyDescent="0.3">
      <c r="A23" s="1" t="s">
        <v>139</v>
      </c>
      <c r="B23" s="2" t="s">
        <v>140</v>
      </c>
      <c r="C23" s="75" t="s">
        <v>141</v>
      </c>
      <c r="D23" s="70"/>
      <c r="E23" s="2" t="s">
        <v>117</v>
      </c>
      <c r="F23" s="50">
        <v>5.76</v>
      </c>
      <c r="G23" s="50">
        <v>0</v>
      </c>
      <c r="H23" s="50">
        <f>ROUND(F23*AO23,2)</f>
        <v>0</v>
      </c>
      <c r="I23" s="50">
        <f>ROUND(F23*AP23,2)</f>
        <v>0</v>
      </c>
      <c r="J23" s="50">
        <f>ROUND(F23*G23,2)</f>
        <v>0</v>
      </c>
      <c r="K23" s="51" t="s">
        <v>118</v>
      </c>
      <c r="Z23" s="50">
        <f>ROUND(IF(AQ23="5",BJ23,0),2)</f>
        <v>0</v>
      </c>
      <c r="AB23" s="50">
        <f>ROUND(IF(AQ23="1",BH23,0),2)</f>
        <v>0</v>
      </c>
      <c r="AC23" s="50">
        <f>ROUND(IF(AQ23="1",BI23,0),2)</f>
        <v>0</v>
      </c>
      <c r="AD23" s="50">
        <f>ROUND(IF(AQ23="7",BH23,0),2)</f>
        <v>0</v>
      </c>
      <c r="AE23" s="50">
        <f>ROUND(IF(AQ23="7",BI23,0),2)</f>
        <v>0</v>
      </c>
      <c r="AF23" s="50">
        <f>ROUND(IF(AQ23="2",BH23,0),2)</f>
        <v>0</v>
      </c>
      <c r="AG23" s="50">
        <f>ROUND(IF(AQ23="2",BI23,0),2)</f>
        <v>0</v>
      </c>
      <c r="AH23" s="50">
        <f>ROUND(IF(AQ23="0",BJ23,0),2)</f>
        <v>0</v>
      </c>
      <c r="AI23" s="32" t="s">
        <v>4</v>
      </c>
      <c r="AJ23" s="50">
        <f>IF(AN23=0,J23,0)</f>
        <v>0</v>
      </c>
      <c r="AK23" s="50">
        <f>IF(AN23=12,J23,0)</f>
        <v>0</v>
      </c>
      <c r="AL23" s="50">
        <f>IF(AN23=21,J23,0)</f>
        <v>0</v>
      </c>
      <c r="AN23" s="50">
        <v>21</v>
      </c>
      <c r="AO23" s="50">
        <f>G23*0</f>
        <v>0</v>
      </c>
      <c r="AP23" s="50">
        <f>G23*(1-0)</f>
        <v>0</v>
      </c>
      <c r="AQ23" s="52" t="s">
        <v>114</v>
      </c>
      <c r="AV23" s="50">
        <f>ROUND(AW23+AX23,2)</f>
        <v>0</v>
      </c>
      <c r="AW23" s="50">
        <f>ROUND(F23*AO23,2)</f>
        <v>0</v>
      </c>
      <c r="AX23" s="50">
        <f>ROUND(F23*AP23,2)</f>
        <v>0</v>
      </c>
      <c r="AY23" s="52" t="s">
        <v>129</v>
      </c>
      <c r="AZ23" s="52" t="s">
        <v>120</v>
      </c>
      <c r="BA23" s="32" t="s">
        <v>121</v>
      </c>
      <c r="BC23" s="50">
        <f>AW23+AX23</f>
        <v>0</v>
      </c>
      <c r="BD23" s="50">
        <f>G23/(100-BE23)*100</f>
        <v>0</v>
      </c>
      <c r="BE23" s="50">
        <v>0</v>
      </c>
      <c r="BF23" s="50">
        <f>23</f>
        <v>23</v>
      </c>
      <c r="BH23" s="50">
        <f>F23*AO23</f>
        <v>0</v>
      </c>
      <c r="BI23" s="50">
        <f>F23*AP23</f>
        <v>0</v>
      </c>
      <c r="BJ23" s="50">
        <f>F23*G23</f>
        <v>0</v>
      </c>
      <c r="BK23" s="52" t="s">
        <v>122</v>
      </c>
      <c r="BL23" s="50">
        <v>13</v>
      </c>
      <c r="BW23" s="50">
        <v>21</v>
      </c>
      <c r="BX23" s="3" t="s">
        <v>141</v>
      </c>
    </row>
    <row r="24" spans="1:76" ht="14.4" x14ac:dyDescent="0.3">
      <c r="A24" s="53"/>
      <c r="C24" s="54" t="s">
        <v>142</v>
      </c>
      <c r="D24" s="54" t="s">
        <v>143</v>
      </c>
      <c r="F24" s="55">
        <v>5.76</v>
      </c>
      <c r="K24" s="56"/>
    </row>
    <row r="25" spans="1:76" ht="14.4" x14ac:dyDescent="0.3">
      <c r="A25" s="46" t="s">
        <v>4</v>
      </c>
      <c r="B25" s="47" t="s">
        <v>144</v>
      </c>
      <c r="C25" s="148" t="s">
        <v>145</v>
      </c>
      <c r="D25" s="149"/>
      <c r="E25" s="48" t="s">
        <v>79</v>
      </c>
      <c r="F25" s="48" t="s">
        <v>79</v>
      </c>
      <c r="G25" s="48" t="s">
        <v>79</v>
      </c>
      <c r="H25" s="26">
        <f>ROUND(SUM(H26:H26),2)</f>
        <v>0</v>
      </c>
      <c r="I25" s="26">
        <f>ROUND(SUM(I26:I26),2)</f>
        <v>0</v>
      </c>
      <c r="J25" s="26">
        <f>ROUND(SUM(J26:J26),2)</f>
        <v>0</v>
      </c>
      <c r="K25" s="49" t="s">
        <v>4</v>
      </c>
      <c r="AI25" s="32" t="s">
        <v>4</v>
      </c>
      <c r="AS25" s="26">
        <f>SUM(AJ26:AJ26)</f>
        <v>0</v>
      </c>
      <c r="AT25" s="26">
        <f>SUM(AK26:AK26)</f>
        <v>0</v>
      </c>
      <c r="AU25" s="26">
        <f>SUM(AL26:AL26)</f>
        <v>0</v>
      </c>
    </row>
    <row r="26" spans="1:76" ht="14.4" x14ac:dyDescent="0.3">
      <c r="A26" s="1" t="s">
        <v>146</v>
      </c>
      <c r="B26" s="2" t="s">
        <v>147</v>
      </c>
      <c r="C26" s="75" t="s">
        <v>148</v>
      </c>
      <c r="D26" s="70"/>
      <c r="E26" s="2" t="s">
        <v>117</v>
      </c>
      <c r="F26" s="50">
        <v>19.174399999999999</v>
      </c>
      <c r="G26" s="50">
        <v>0</v>
      </c>
      <c r="H26" s="50">
        <f>ROUND(F26*AO26,2)</f>
        <v>0</v>
      </c>
      <c r="I26" s="50">
        <f>ROUND(F26*AP26,2)</f>
        <v>0</v>
      </c>
      <c r="J26" s="50">
        <f>ROUND(F26*G26,2)</f>
        <v>0</v>
      </c>
      <c r="K26" s="51" t="s">
        <v>118</v>
      </c>
      <c r="Z26" s="50">
        <f>ROUND(IF(AQ26="5",BJ26,0),2)</f>
        <v>0</v>
      </c>
      <c r="AB26" s="50">
        <f>ROUND(IF(AQ26="1",BH26,0),2)</f>
        <v>0</v>
      </c>
      <c r="AC26" s="50">
        <f>ROUND(IF(AQ26="1",BI26,0),2)</f>
        <v>0</v>
      </c>
      <c r="AD26" s="50">
        <f>ROUND(IF(AQ26="7",BH26,0),2)</f>
        <v>0</v>
      </c>
      <c r="AE26" s="50">
        <f>ROUND(IF(AQ26="7",BI26,0),2)</f>
        <v>0</v>
      </c>
      <c r="AF26" s="50">
        <f>ROUND(IF(AQ26="2",BH26,0),2)</f>
        <v>0</v>
      </c>
      <c r="AG26" s="50">
        <f>ROUND(IF(AQ26="2",BI26,0),2)</f>
        <v>0</v>
      </c>
      <c r="AH26" s="50">
        <f>ROUND(IF(AQ26="0",BJ26,0),2)</f>
        <v>0</v>
      </c>
      <c r="AI26" s="32" t="s">
        <v>4</v>
      </c>
      <c r="AJ26" s="50">
        <f>IF(AN26=0,J26,0)</f>
        <v>0</v>
      </c>
      <c r="AK26" s="50">
        <f>IF(AN26=12,J26,0)</f>
        <v>0</v>
      </c>
      <c r="AL26" s="50">
        <f>IF(AN26=21,J26,0)</f>
        <v>0</v>
      </c>
      <c r="AN26" s="50">
        <v>21</v>
      </c>
      <c r="AO26" s="50">
        <f>G26*0</f>
        <v>0</v>
      </c>
      <c r="AP26" s="50">
        <f>G26*(1-0)</f>
        <v>0</v>
      </c>
      <c r="AQ26" s="52" t="s">
        <v>114</v>
      </c>
      <c r="AV26" s="50">
        <f>ROUND(AW26+AX26,2)</f>
        <v>0</v>
      </c>
      <c r="AW26" s="50">
        <f>ROUND(F26*AO26,2)</f>
        <v>0</v>
      </c>
      <c r="AX26" s="50">
        <f>ROUND(F26*AP26,2)</f>
        <v>0</v>
      </c>
      <c r="AY26" s="52" t="s">
        <v>149</v>
      </c>
      <c r="AZ26" s="52" t="s">
        <v>120</v>
      </c>
      <c r="BA26" s="32" t="s">
        <v>121</v>
      </c>
      <c r="BC26" s="50">
        <f>AW26+AX26</f>
        <v>0</v>
      </c>
      <c r="BD26" s="50">
        <f>G26/(100-BE26)*100</f>
        <v>0</v>
      </c>
      <c r="BE26" s="50">
        <v>0</v>
      </c>
      <c r="BF26" s="50">
        <f>26</f>
        <v>26</v>
      </c>
      <c r="BH26" s="50">
        <f>F26*AO26</f>
        <v>0</v>
      </c>
      <c r="BI26" s="50">
        <f>F26*AP26</f>
        <v>0</v>
      </c>
      <c r="BJ26" s="50">
        <f>F26*G26</f>
        <v>0</v>
      </c>
      <c r="BK26" s="52" t="s">
        <v>122</v>
      </c>
      <c r="BL26" s="50">
        <v>16</v>
      </c>
      <c r="BW26" s="50">
        <v>21</v>
      </c>
      <c r="BX26" s="3" t="s">
        <v>148</v>
      </c>
    </row>
    <row r="27" spans="1:76" ht="14.4" x14ac:dyDescent="0.3">
      <c r="A27" s="53"/>
      <c r="C27" s="54" t="s">
        <v>130</v>
      </c>
      <c r="D27" s="54" t="s">
        <v>4</v>
      </c>
      <c r="F27" s="55">
        <v>21.298400000000001</v>
      </c>
      <c r="K27" s="56"/>
    </row>
    <row r="28" spans="1:76" ht="14.4" x14ac:dyDescent="0.3">
      <c r="A28" s="53"/>
      <c r="C28" s="54" t="s">
        <v>142</v>
      </c>
      <c r="D28" s="54" t="s">
        <v>143</v>
      </c>
      <c r="F28" s="55">
        <v>5.76</v>
      </c>
      <c r="K28" s="56"/>
    </row>
    <row r="29" spans="1:76" ht="14.4" x14ac:dyDescent="0.3">
      <c r="A29" s="53"/>
      <c r="C29" s="54" t="s">
        <v>150</v>
      </c>
      <c r="D29" s="54" t="s">
        <v>4</v>
      </c>
      <c r="F29" s="55">
        <v>-7.8840000000000003</v>
      </c>
      <c r="K29" s="56"/>
    </row>
    <row r="30" spans="1:76" ht="14.4" x14ac:dyDescent="0.3">
      <c r="A30" s="46" t="s">
        <v>4</v>
      </c>
      <c r="B30" s="47" t="s">
        <v>151</v>
      </c>
      <c r="C30" s="148" t="s">
        <v>152</v>
      </c>
      <c r="D30" s="149"/>
      <c r="E30" s="48" t="s">
        <v>79</v>
      </c>
      <c r="F30" s="48" t="s">
        <v>79</v>
      </c>
      <c r="G30" s="48" t="s">
        <v>79</v>
      </c>
      <c r="H30" s="26">
        <f>ROUND(SUM(H31:H34),2)</f>
        <v>0</v>
      </c>
      <c r="I30" s="26">
        <f>ROUND(SUM(I31:I34),2)</f>
        <v>0</v>
      </c>
      <c r="J30" s="26">
        <f>ROUND(SUM(J31:J34),2)</f>
        <v>0</v>
      </c>
      <c r="K30" s="49" t="s">
        <v>4</v>
      </c>
      <c r="AI30" s="32" t="s">
        <v>4</v>
      </c>
      <c r="AS30" s="26">
        <f>SUM(AJ31:AJ34)</f>
        <v>0</v>
      </c>
      <c r="AT30" s="26">
        <f>SUM(AK31:AK34)</f>
        <v>0</v>
      </c>
      <c r="AU30" s="26">
        <f>SUM(AL31:AL34)</f>
        <v>0</v>
      </c>
    </row>
    <row r="31" spans="1:76" ht="14.4" x14ac:dyDescent="0.3">
      <c r="A31" s="1" t="s">
        <v>153</v>
      </c>
      <c r="B31" s="2" t="s">
        <v>154</v>
      </c>
      <c r="C31" s="75" t="s">
        <v>155</v>
      </c>
      <c r="D31" s="70"/>
      <c r="E31" s="2" t="s">
        <v>117</v>
      </c>
      <c r="F31" s="50">
        <v>0.54</v>
      </c>
      <c r="G31" s="50">
        <v>0</v>
      </c>
      <c r="H31" s="50">
        <f>ROUND(F31*AO31,2)</f>
        <v>0</v>
      </c>
      <c r="I31" s="50">
        <f>ROUND(F31*AP31,2)</f>
        <v>0</v>
      </c>
      <c r="J31" s="50">
        <f>ROUND(F31*G31,2)</f>
        <v>0</v>
      </c>
      <c r="K31" s="51" t="s">
        <v>118</v>
      </c>
      <c r="Z31" s="50">
        <f>ROUND(IF(AQ31="5",BJ31,0),2)</f>
        <v>0</v>
      </c>
      <c r="AB31" s="50">
        <f>ROUND(IF(AQ31="1",BH31,0),2)</f>
        <v>0</v>
      </c>
      <c r="AC31" s="50">
        <f>ROUND(IF(AQ31="1",BI31,0),2)</f>
        <v>0</v>
      </c>
      <c r="AD31" s="50">
        <f>ROUND(IF(AQ31="7",BH31,0),2)</f>
        <v>0</v>
      </c>
      <c r="AE31" s="50">
        <f>ROUND(IF(AQ31="7",BI31,0),2)</f>
        <v>0</v>
      </c>
      <c r="AF31" s="50">
        <f>ROUND(IF(AQ31="2",BH31,0),2)</f>
        <v>0</v>
      </c>
      <c r="AG31" s="50">
        <f>ROUND(IF(AQ31="2",BI31,0),2)</f>
        <v>0</v>
      </c>
      <c r="AH31" s="50">
        <f>ROUND(IF(AQ31="0",BJ31,0),2)</f>
        <v>0</v>
      </c>
      <c r="AI31" s="32" t="s">
        <v>4</v>
      </c>
      <c r="AJ31" s="50">
        <f>IF(AN31=0,J31,0)</f>
        <v>0</v>
      </c>
      <c r="AK31" s="50">
        <f>IF(AN31=12,J31,0)</f>
        <v>0</v>
      </c>
      <c r="AL31" s="50">
        <f>IF(AN31=21,J31,0)</f>
        <v>0</v>
      </c>
      <c r="AN31" s="50">
        <v>21</v>
      </c>
      <c r="AO31" s="50">
        <f>G31*0.496429592</f>
        <v>0</v>
      </c>
      <c r="AP31" s="50">
        <f>G31*(1-0.496429592)</f>
        <v>0</v>
      </c>
      <c r="AQ31" s="52" t="s">
        <v>114</v>
      </c>
      <c r="AV31" s="50">
        <f>ROUND(AW31+AX31,2)</f>
        <v>0</v>
      </c>
      <c r="AW31" s="50">
        <f>ROUND(F31*AO31,2)</f>
        <v>0</v>
      </c>
      <c r="AX31" s="50">
        <f>ROUND(F31*AP31,2)</f>
        <v>0</v>
      </c>
      <c r="AY31" s="52" t="s">
        <v>156</v>
      </c>
      <c r="AZ31" s="52" t="s">
        <v>120</v>
      </c>
      <c r="BA31" s="32" t="s">
        <v>121</v>
      </c>
      <c r="BC31" s="50">
        <f>AW31+AX31</f>
        <v>0</v>
      </c>
      <c r="BD31" s="50">
        <f>G31/(100-BE31)*100</f>
        <v>0</v>
      </c>
      <c r="BE31" s="50">
        <v>0</v>
      </c>
      <c r="BF31" s="50">
        <f>31</f>
        <v>31</v>
      </c>
      <c r="BH31" s="50">
        <f>F31*AO31</f>
        <v>0</v>
      </c>
      <c r="BI31" s="50">
        <f>F31*AP31</f>
        <v>0</v>
      </c>
      <c r="BJ31" s="50">
        <f>F31*G31</f>
        <v>0</v>
      </c>
      <c r="BK31" s="52" t="s">
        <v>122</v>
      </c>
      <c r="BL31" s="50">
        <v>17</v>
      </c>
      <c r="BW31" s="50">
        <v>21</v>
      </c>
      <c r="BX31" s="3" t="s">
        <v>155</v>
      </c>
    </row>
    <row r="32" spans="1:76" ht="13.5" customHeight="1" x14ac:dyDescent="0.3">
      <c r="A32" s="53"/>
      <c r="B32" s="57" t="s">
        <v>157</v>
      </c>
      <c r="C32" s="150" t="s">
        <v>158</v>
      </c>
      <c r="D32" s="151"/>
      <c r="E32" s="151"/>
      <c r="F32" s="151"/>
      <c r="G32" s="151"/>
      <c r="H32" s="151"/>
      <c r="I32" s="151"/>
      <c r="J32" s="151"/>
      <c r="K32" s="152"/>
    </row>
    <row r="33" spans="1:76" ht="14.4" x14ac:dyDescent="0.3">
      <c r="A33" s="53"/>
      <c r="C33" s="54" t="s">
        <v>159</v>
      </c>
      <c r="D33" s="54" t="s">
        <v>4</v>
      </c>
      <c r="F33" s="55">
        <v>0.54</v>
      </c>
      <c r="K33" s="56"/>
    </row>
    <row r="34" spans="1:76" ht="14.4" x14ac:dyDescent="0.3">
      <c r="A34" s="1" t="s">
        <v>160</v>
      </c>
      <c r="B34" s="2" t="s">
        <v>161</v>
      </c>
      <c r="C34" s="75" t="s">
        <v>162</v>
      </c>
      <c r="D34" s="70"/>
      <c r="E34" s="2" t="s">
        <v>117</v>
      </c>
      <c r="F34" s="50">
        <v>7.8840000000000003</v>
      </c>
      <c r="G34" s="50">
        <v>0</v>
      </c>
      <c r="H34" s="50">
        <f>ROUND(F34*AO34,2)</f>
        <v>0</v>
      </c>
      <c r="I34" s="50">
        <f>ROUND(F34*AP34,2)</f>
        <v>0</v>
      </c>
      <c r="J34" s="50">
        <f>ROUND(F34*G34,2)</f>
        <v>0</v>
      </c>
      <c r="K34" s="51" t="s">
        <v>118</v>
      </c>
      <c r="Z34" s="50">
        <f>ROUND(IF(AQ34="5",BJ34,0),2)</f>
        <v>0</v>
      </c>
      <c r="AB34" s="50">
        <f>ROUND(IF(AQ34="1",BH34,0),2)</f>
        <v>0</v>
      </c>
      <c r="AC34" s="50">
        <f>ROUND(IF(AQ34="1",BI34,0),2)</f>
        <v>0</v>
      </c>
      <c r="AD34" s="50">
        <f>ROUND(IF(AQ34="7",BH34,0),2)</f>
        <v>0</v>
      </c>
      <c r="AE34" s="50">
        <f>ROUND(IF(AQ34="7",BI34,0),2)</f>
        <v>0</v>
      </c>
      <c r="AF34" s="50">
        <f>ROUND(IF(AQ34="2",BH34,0),2)</f>
        <v>0</v>
      </c>
      <c r="AG34" s="50">
        <f>ROUND(IF(AQ34="2",BI34,0),2)</f>
        <v>0</v>
      </c>
      <c r="AH34" s="50">
        <f>ROUND(IF(AQ34="0",BJ34,0),2)</f>
        <v>0</v>
      </c>
      <c r="AI34" s="32" t="s">
        <v>4</v>
      </c>
      <c r="AJ34" s="50">
        <f>IF(AN34=0,J34,0)</f>
        <v>0</v>
      </c>
      <c r="AK34" s="50">
        <f>IF(AN34=12,J34,0)</f>
        <v>0</v>
      </c>
      <c r="AL34" s="50">
        <f>IF(AN34=21,J34,0)</f>
        <v>0</v>
      </c>
      <c r="AN34" s="50">
        <v>21</v>
      </c>
      <c r="AO34" s="50">
        <f>G34*0</f>
        <v>0</v>
      </c>
      <c r="AP34" s="50">
        <f>G34*(1-0)</f>
        <v>0</v>
      </c>
      <c r="AQ34" s="52" t="s">
        <v>114</v>
      </c>
      <c r="AV34" s="50">
        <f>ROUND(AW34+AX34,2)</f>
        <v>0</v>
      </c>
      <c r="AW34" s="50">
        <f>ROUND(F34*AO34,2)</f>
        <v>0</v>
      </c>
      <c r="AX34" s="50">
        <f>ROUND(F34*AP34,2)</f>
        <v>0</v>
      </c>
      <c r="AY34" s="52" t="s">
        <v>156</v>
      </c>
      <c r="AZ34" s="52" t="s">
        <v>120</v>
      </c>
      <c r="BA34" s="32" t="s">
        <v>121</v>
      </c>
      <c r="BC34" s="50">
        <f>AW34+AX34</f>
        <v>0</v>
      </c>
      <c r="BD34" s="50">
        <f>G34/(100-BE34)*100</f>
        <v>0</v>
      </c>
      <c r="BE34" s="50">
        <v>0</v>
      </c>
      <c r="BF34" s="50">
        <f>34</f>
        <v>34</v>
      </c>
      <c r="BH34" s="50">
        <f>F34*AO34</f>
        <v>0</v>
      </c>
      <c r="BI34" s="50">
        <f>F34*AP34</f>
        <v>0</v>
      </c>
      <c r="BJ34" s="50">
        <f>F34*G34</f>
        <v>0</v>
      </c>
      <c r="BK34" s="52" t="s">
        <v>122</v>
      </c>
      <c r="BL34" s="50">
        <v>17</v>
      </c>
      <c r="BW34" s="50">
        <v>21</v>
      </c>
      <c r="BX34" s="3" t="s">
        <v>162</v>
      </c>
    </row>
    <row r="35" spans="1:76" ht="14.4" x14ac:dyDescent="0.3">
      <c r="A35" s="53"/>
      <c r="C35" s="54" t="s">
        <v>163</v>
      </c>
      <c r="D35" s="54" t="s">
        <v>4</v>
      </c>
      <c r="F35" s="55">
        <v>0.9</v>
      </c>
      <c r="K35" s="56"/>
    </row>
    <row r="36" spans="1:76" ht="14.4" x14ac:dyDescent="0.3">
      <c r="A36" s="53"/>
      <c r="C36" s="54" t="s">
        <v>164</v>
      </c>
      <c r="D36" s="54" t="s">
        <v>4</v>
      </c>
      <c r="F36" s="55">
        <v>1.92</v>
      </c>
      <c r="K36" s="56"/>
    </row>
    <row r="37" spans="1:76" ht="14.4" x14ac:dyDescent="0.3">
      <c r="A37" s="53"/>
      <c r="C37" s="54" t="s">
        <v>165</v>
      </c>
      <c r="D37" s="54" t="s">
        <v>4</v>
      </c>
      <c r="F37" s="55">
        <v>5.0640000000000001</v>
      </c>
      <c r="K37" s="56"/>
    </row>
    <row r="38" spans="1:76" ht="14.4" x14ac:dyDescent="0.3">
      <c r="A38" s="46" t="s">
        <v>4</v>
      </c>
      <c r="B38" s="47" t="s">
        <v>166</v>
      </c>
      <c r="C38" s="148" t="s">
        <v>167</v>
      </c>
      <c r="D38" s="149"/>
      <c r="E38" s="48" t="s">
        <v>79</v>
      </c>
      <c r="F38" s="48" t="s">
        <v>79</v>
      </c>
      <c r="G38" s="48" t="s">
        <v>79</v>
      </c>
      <c r="H38" s="26">
        <f>ROUND(SUM(H39:H44),2)</f>
        <v>0</v>
      </c>
      <c r="I38" s="26">
        <f>ROUND(SUM(I39:I44),2)</f>
        <v>0</v>
      </c>
      <c r="J38" s="26">
        <f>ROUND(SUM(J39:J44),2)</f>
        <v>0</v>
      </c>
      <c r="K38" s="49" t="s">
        <v>4</v>
      </c>
      <c r="AI38" s="32" t="s">
        <v>4</v>
      </c>
      <c r="AS38" s="26">
        <f>SUM(AJ39:AJ44)</f>
        <v>0</v>
      </c>
      <c r="AT38" s="26">
        <f>SUM(AK39:AK44)</f>
        <v>0</v>
      </c>
      <c r="AU38" s="26">
        <f>SUM(AL39:AL44)</f>
        <v>0</v>
      </c>
    </row>
    <row r="39" spans="1:76" ht="14.4" x14ac:dyDescent="0.3">
      <c r="A39" s="1" t="s">
        <v>168</v>
      </c>
      <c r="B39" s="2" t="s">
        <v>169</v>
      </c>
      <c r="C39" s="75" t="s">
        <v>170</v>
      </c>
      <c r="D39" s="70"/>
      <c r="E39" s="2" t="s">
        <v>117</v>
      </c>
      <c r="F39" s="50">
        <v>3.84</v>
      </c>
      <c r="G39" s="50">
        <v>0</v>
      </c>
      <c r="H39" s="50">
        <f>ROUND(F39*AO39,2)</f>
        <v>0</v>
      </c>
      <c r="I39" s="50">
        <f>ROUND(F39*AP39,2)</f>
        <v>0</v>
      </c>
      <c r="J39" s="50">
        <f>ROUND(F39*G39,2)</f>
        <v>0</v>
      </c>
      <c r="K39" s="51" t="s">
        <v>118</v>
      </c>
      <c r="Z39" s="50">
        <f>ROUND(IF(AQ39="5",BJ39,0),2)</f>
        <v>0</v>
      </c>
      <c r="AB39" s="50">
        <f>ROUND(IF(AQ39="1",BH39,0),2)</f>
        <v>0</v>
      </c>
      <c r="AC39" s="50">
        <f>ROUND(IF(AQ39="1",BI39,0),2)</f>
        <v>0</v>
      </c>
      <c r="AD39" s="50">
        <f>ROUND(IF(AQ39="7",BH39,0),2)</f>
        <v>0</v>
      </c>
      <c r="AE39" s="50">
        <f>ROUND(IF(AQ39="7",BI39,0),2)</f>
        <v>0</v>
      </c>
      <c r="AF39" s="50">
        <f>ROUND(IF(AQ39="2",BH39,0),2)</f>
        <v>0</v>
      </c>
      <c r="AG39" s="50">
        <f>ROUND(IF(AQ39="2",BI39,0),2)</f>
        <v>0</v>
      </c>
      <c r="AH39" s="50">
        <f>ROUND(IF(AQ39="0",BJ39,0),2)</f>
        <v>0</v>
      </c>
      <c r="AI39" s="32" t="s">
        <v>4</v>
      </c>
      <c r="AJ39" s="50">
        <f>IF(AN39=0,J39,0)</f>
        <v>0</v>
      </c>
      <c r="AK39" s="50">
        <f>IF(AN39=12,J39,0)</f>
        <v>0</v>
      </c>
      <c r="AL39" s="50">
        <f>IF(AN39=21,J39,0)</f>
        <v>0</v>
      </c>
      <c r="AN39" s="50">
        <v>21</v>
      </c>
      <c r="AO39" s="50">
        <f>G39*0.561644879</f>
        <v>0</v>
      </c>
      <c r="AP39" s="50">
        <f>G39*(1-0.561644879)</f>
        <v>0</v>
      </c>
      <c r="AQ39" s="52" t="s">
        <v>114</v>
      </c>
      <c r="AV39" s="50">
        <f>ROUND(AW39+AX39,2)</f>
        <v>0</v>
      </c>
      <c r="AW39" s="50">
        <f>ROUND(F39*AO39,2)</f>
        <v>0</v>
      </c>
      <c r="AX39" s="50">
        <f>ROUND(F39*AP39,2)</f>
        <v>0</v>
      </c>
      <c r="AY39" s="52" t="s">
        <v>171</v>
      </c>
      <c r="AZ39" s="52" t="s">
        <v>172</v>
      </c>
      <c r="BA39" s="32" t="s">
        <v>121</v>
      </c>
      <c r="BC39" s="50">
        <f>AW39+AX39</f>
        <v>0</v>
      </c>
      <c r="BD39" s="50">
        <f>G39/(100-BE39)*100</f>
        <v>0</v>
      </c>
      <c r="BE39" s="50">
        <v>0</v>
      </c>
      <c r="BF39" s="50">
        <f>39</f>
        <v>39</v>
      </c>
      <c r="BH39" s="50">
        <f>F39*AO39</f>
        <v>0</v>
      </c>
      <c r="BI39" s="50">
        <f>F39*AP39</f>
        <v>0</v>
      </c>
      <c r="BJ39" s="50">
        <f>F39*G39</f>
        <v>0</v>
      </c>
      <c r="BK39" s="52" t="s">
        <v>122</v>
      </c>
      <c r="BL39" s="50">
        <v>21</v>
      </c>
      <c r="BW39" s="50">
        <v>21</v>
      </c>
      <c r="BX39" s="3" t="s">
        <v>170</v>
      </c>
    </row>
    <row r="40" spans="1:76" ht="14.4" x14ac:dyDescent="0.3">
      <c r="A40" s="53"/>
      <c r="C40" s="54" t="s">
        <v>173</v>
      </c>
      <c r="D40" s="54" t="s">
        <v>143</v>
      </c>
      <c r="F40" s="55">
        <v>3.84</v>
      </c>
      <c r="K40" s="56"/>
    </row>
    <row r="41" spans="1:76" ht="14.4" x14ac:dyDescent="0.3">
      <c r="A41" s="1" t="s">
        <v>174</v>
      </c>
      <c r="B41" s="2" t="s">
        <v>175</v>
      </c>
      <c r="C41" s="75" t="s">
        <v>176</v>
      </c>
      <c r="D41" s="70"/>
      <c r="E41" s="2" t="s">
        <v>177</v>
      </c>
      <c r="F41" s="50">
        <v>19.68</v>
      </c>
      <c r="G41" s="50">
        <v>0</v>
      </c>
      <c r="H41" s="50">
        <f>ROUND(F41*AO41,2)</f>
        <v>0</v>
      </c>
      <c r="I41" s="50">
        <f>ROUND(F41*AP41,2)</f>
        <v>0</v>
      </c>
      <c r="J41" s="50">
        <f>ROUND(F41*G41,2)</f>
        <v>0</v>
      </c>
      <c r="K41" s="51" t="s">
        <v>118</v>
      </c>
      <c r="Z41" s="50">
        <f>ROUND(IF(AQ41="5",BJ41,0),2)</f>
        <v>0</v>
      </c>
      <c r="AB41" s="50">
        <f>ROUND(IF(AQ41="1",BH41,0),2)</f>
        <v>0</v>
      </c>
      <c r="AC41" s="50">
        <f>ROUND(IF(AQ41="1",BI41,0),2)</f>
        <v>0</v>
      </c>
      <c r="AD41" s="50">
        <f>ROUND(IF(AQ41="7",BH41,0),2)</f>
        <v>0</v>
      </c>
      <c r="AE41" s="50">
        <f>ROUND(IF(AQ41="7",BI41,0),2)</f>
        <v>0</v>
      </c>
      <c r="AF41" s="50">
        <f>ROUND(IF(AQ41="2",BH41,0),2)</f>
        <v>0</v>
      </c>
      <c r="AG41" s="50">
        <f>ROUND(IF(AQ41="2",BI41,0),2)</f>
        <v>0</v>
      </c>
      <c r="AH41" s="50">
        <f>ROUND(IF(AQ41="0",BJ41,0),2)</f>
        <v>0</v>
      </c>
      <c r="AI41" s="32" t="s">
        <v>4</v>
      </c>
      <c r="AJ41" s="50">
        <f>IF(AN41=0,J41,0)</f>
        <v>0</v>
      </c>
      <c r="AK41" s="50">
        <f>IF(AN41=12,J41,0)</f>
        <v>0</v>
      </c>
      <c r="AL41" s="50">
        <f>IF(AN41=21,J41,0)</f>
        <v>0</v>
      </c>
      <c r="AN41" s="50">
        <v>21</v>
      </c>
      <c r="AO41" s="50">
        <f>G41*0.019996413</f>
        <v>0</v>
      </c>
      <c r="AP41" s="50">
        <f>G41*(1-0.019996413)</f>
        <v>0</v>
      </c>
      <c r="AQ41" s="52" t="s">
        <v>114</v>
      </c>
      <c r="AV41" s="50">
        <f>ROUND(AW41+AX41,2)</f>
        <v>0</v>
      </c>
      <c r="AW41" s="50">
        <f>ROUND(F41*AO41,2)</f>
        <v>0</v>
      </c>
      <c r="AX41" s="50">
        <f>ROUND(F41*AP41,2)</f>
        <v>0</v>
      </c>
      <c r="AY41" s="52" t="s">
        <v>171</v>
      </c>
      <c r="AZ41" s="52" t="s">
        <v>172</v>
      </c>
      <c r="BA41" s="32" t="s">
        <v>121</v>
      </c>
      <c r="BC41" s="50">
        <f>AW41+AX41</f>
        <v>0</v>
      </c>
      <c r="BD41" s="50">
        <f>G41/(100-BE41)*100</f>
        <v>0</v>
      </c>
      <c r="BE41" s="50">
        <v>0</v>
      </c>
      <c r="BF41" s="50">
        <f>41</f>
        <v>41</v>
      </c>
      <c r="BH41" s="50">
        <f>F41*AO41</f>
        <v>0</v>
      </c>
      <c r="BI41" s="50">
        <f>F41*AP41</f>
        <v>0</v>
      </c>
      <c r="BJ41" s="50">
        <f>F41*G41</f>
        <v>0</v>
      </c>
      <c r="BK41" s="52" t="s">
        <v>122</v>
      </c>
      <c r="BL41" s="50">
        <v>21</v>
      </c>
      <c r="BW41" s="50">
        <v>21</v>
      </c>
      <c r="BX41" s="3" t="s">
        <v>176</v>
      </c>
    </row>
    <row r="42" spans="1:76" ht="14.4" x14ac:dyDescent="0.3">
      <c r="A42" s="53"/>
      <c r="C42" s="54" t="s">
        <v>178</v>
      </c>
      <c r="D42" s="54" t="s">
        <v>4</v>
      </c>
      <c r="F42" s="55">
        <v>7.68</v>
      </c>
      <c r="K42" s="56"/>
    </row>
    <row r="43" spans="1:76" ht="14.4" x14ac:dyDescent="0.3">
      <c r="A43" s="53"/>
      <c r="C43" s="54" t="s">
        <v>179</v>
      </c>
      <c r="D43" s="54" t="s">
        <v>4</v>
      </c>
      <c r="F43" s="55">
        <v>12</v>
      </c>
      <c r="K43" s="56"/>
    </row>
    <row r="44" spans="1:76" ht="14.4" x14ac:dyDescent="0.3">
      <c r="A44" s="1" t="s">
        <v>180</v>
      </c>
      <c r="B44" s="2" t="s">
        <v>181</v>
      </c>
      <c r="C44" s="75" t="s">
        <v>182</v>
      </c>
      <c r="D44" s="70"/>
      <c r="E44" s="2" t="s">
        <v>177</v>
      </c>
      <c r="F44" s="50">
        <v>19.68</v>
      </c>
      <c r="G44" s="50">
        <v>0</v>
      </c>
      <c r="H44" s="50">
        <f>ROUND(F44*AO44,2)</f>
        <v>0</v>
      </c>
      <c r="I44" s="50">
        <f>ROUND(F44*AP44,2)</f>
        <v>0</v>
      </c>
      <c r="J44" s="50">
        <f>ROUND(F44*G44,2)</f>
        <v>0</v>
      </c>
      <c r="K44" s="51" t="s">
        <v>118</v>
      </c>
      <c r="Z44" s="50">
        <f>ROUND(IF(AQ44="5",BJ44,0),2)</f>
        <v>0</v>
      </c>
      <c r="AB44" s="50">
        <f>ROUND(IF(AQ44="1",BH44,0),2)</f>
        <v>0</v>
      </c>
      <c r="AC44" s="50">
        <f>ROUND(IF(AQ44="1",BI44,0),2)</f>
        <v>0</v>
      </c>
      <c r="AD44" s="50">
        <f>ROUND(IF(AQ44="7",BH44,0),2)</f>
        <v>0</v>
      </c>
      <c r="AE44" s="50">
        <f>ROUND(IF(AQ44="7",BI44,0),2)</f>
        <v>0</v>
      </c>
      <c r="AF44" s="50">
        <f>ROUND(IF(AQ44="2",BH44,0),2)</f>
        <v>0</v>
      </c>
      <c r="AG44" s="50">
        <f>ROUND(IF(AQ44="2",BI44,0),2)</f>
        <v>0</v>
      </c>
      <c r="AH44" s="50">
        <f>ROUND(IF(AQ44="0",BJ44,0),2)</f>
        <v>0</v>
      </c>
      <c r="AI44" s="32" t="s">
        <v>4</v>
      </c>
      <c r="AJ44" s="50">
        <f>IF(AN44=0,J44,0)</f>
        <v>0</v>
      </c>
      <c r="AK44" s="50">
        <f>IF(AN44=12,J44,0)</f>
        <v>0</v>
      </c>
      <c r="AL44" s="50">
        <f>IF(AN44=21,J44,0)</f>
        <v>0</v>
      </c>
      <c r="AN44" s="50">
        <v>21</v>
      </c>
      <c r="AO44" s="50">
        <f>G44*1</f>
        <v>0</v>
      </c>
      <c r="AP44" s="50">
        <f>G44*(1-1)</f>
        <v>0</v>
      </c>
      <c r="AQ44" s="52" t="s">
        <v>114</v>
      </c>
      <c r="AV44" s="50">
        <f>ROUND(AW44+AX44,2)</f>
        <v>0</v>
      </c>
      <c r="AW44" s="50">
        <f>ROUND(F44*AO44,2)</f>
        <v>0</v>
      </c>
      <c r="AX44" s="50">
        <f>ROUND(F44*AP44,2)</f>
        <v>0</v>
      </c>
      <c r="AY44" s="52" t="s">
        <v>171</v>
      </c>
      <c r="AZ44" s="52" t="s">
        <v>172</v>
      </c>
      <c r="BA44" s="32" t="s">
        <v>121</v>
      </c>
      <c r="BC44" s="50">
        <f>AW44+AX44</f>
        <v>0</v>
      </c>
      <c r="BD44" s="50">
        <f>G44/(100-BE44)*100</f>
        <v>0</v>
      </c>
      <c r="BE44" s="50">
        <v>0</v>
      </c>
      <c r="BF44" s="50">
        <f>44</f>
        <v>44</v>
      </c>
      <c r="BH44" s="50">
        <f>F44*AO44</f>
        <v>0</v>
      </c>
      <c r="BI44" s="50">
        <f>F44*AP44</f>
        <v>0</v>
      </c>
      <c r="BJ44" s="50">
        <f>F44*G44</f>
        <v>0</v>
      </c>
      <c r="BK44" s="52" t="s">
        <v>183</v>
      </c>
      <c r="BL44" s="50">
        <v>21</v>
      </c>
      <c r="BW44" s="50">
        <v>21</v>
      </c>
      <c r="BX44" s="3" t="s">
        <v>182</v>
      </c>
    </row>
    <row r="45" spans="1:76" ht="14.4" x14ac:dyDescent="0.3">
      <c r="A45" s="53"/>
      <c r="C45" s="54" t="s">
        <v>184</v>
      </c>
      <c r="D45" s="54" t="s">
        <v>4</v>
      </c>
      <c r="F45" s="55">
        <v>19.68</v>
      </c>
      <c r="K45" s="56"/>
    </row>
    <row r="46" spans="1:76" ht="14.4" x14ac:dyDescent="0.3">
      <c r="A46" s="46" t="s">
        <v>4</v>
      </c>
      <c r="B46" s="47" t="s">
        <v>185</v>
      </c>
      <c r="C46" s="148" t="s">
        <v>186</v>
      </c>
      <c r="D46" s="149"/>
      <c r="E46" s="48" t="s">
        <v>79</v>
      </c>
      <c r="F46" s="48" t="s">
        <v>79</v>
      </c>
      <c r="G46" s="48" t="s">
        <v>79</v>
      </c>
      <c r="H46" s="26">
        <f>ROUND(SUM(H47:H67),2)</f>
        <v>0</v>
      </c>
      <c r="I46" s="26">
        <f>ROUND(SUM(I47:I67),2)</f>
        <v>0</v>
      </c>
      <c r="J46" s="26">
        <f>ROUND(SUM(J47:J67),2)</f>
        <v>0</v>
      </c>
      <c r="K46" s="49" t="s">
        <v>4</v>
      </c>
      <c r="AI46" s="32" t="s">
        <v>4</v>
      </c>
      <c r="AS46" s="26">
        <f>SUM(AJ47:AJ67)</f>
        <v>0</v>
      </c>
      <c r="AT46" s="26">
        <f>SUM(AK47:AK67)</f>
        <v>0</v>
      </c>
      <c r="AU46" s="26">
        <f>SUM(AL47:AL67)</f>
        <v>0</v>
      </c>
    </row>
    <row r="47" spans="1:76" ht="14.4" x14ac:dyDescent="0.3">
      <c r="A47" s="1" t="s">
        <v>112</v>
      </c>
      <c r="B47" s="2" t="s">
        <v>187</v>
      </c>
      <c r="C47" s="75" t="s">
        <v>188</v>
      </c>
      <c r="D47" s="70"/>
      <c r="E47" s="2" t="s">
        <v>177</v>
      </c>
      <c r="F47" s="50">
        <v>13.7</v>
      </c>
      <c r="G47" s="50">
        <v>0</v>
      </c>
      <c r="H47" s="50">
        <f>ROUND(F47*AO47,2)</f>
        <v>0</v>
      </c>
      <c r="I47" s="50">
        <f>ROUND(F47*AP47,2)</f>
        <v>0</v>
      </c>
      <c r="J47" s="50">
        <f>ROUND(F47*G47,2)</f>
        <v>0</v>
      </c>
      <c r="K47" s="51" t="s">
        <v>118</v>
      </c>
      <c r="Z47" s="50">
        <f>ROUND(IF(AQ47="5",BJ47,0),2)</f>
        <v>0</v>
      </c>
      <c r="AB47" s="50">
        <f>ROUND(IF(AQ47="1",BH47,0),2)</f>
        <v>0</v>
      </c>
      <c r="AC47" s="50">
        <f>ROUND(IF(AQ47="1",BI47,0),2)</f>
        <v>0</v>
      </c>
      <c r="AD47" s="50">
        <f>ROUND(IF(AQ47="7",BH47,0),2)</f>
        <v>0</v>
      </c>
      <c r="AE47" s="50">
        <f>ROUND(IF(AQ47="7",BI47,0),2)</f>
        <v>0</v>
      </c>
      <c r="AF47" s="50">
        <f>ROUND(IF(AQ47="2",BH47,0),2)</f>
        <v>0</v>
      </c>
      <c r="AG47" s="50">
        <f>ROUND(IF(AQ47="2",BI47,0),2)</f>
        <v>0</v>
      </c>
      <c r="AH47" s="50">
        <f>ROUND(IF(AQ47="0",BJ47,0),2)</f>
        <v>0</v>
      </c>
      <c r="AI47" s="32" t="s">
        <v>4</v>
      </c>
      <c r="AJ47" s="50">
        <f>IF(AN47=0,J47,0)</f>
        <v>0</v>
      </c>
      <c r="AK47" s="50">
        <f>IF(AN47=12,J47,0)</f>
        <v>0</v>
      </c>
      <c r="AL47" s="50">
        <f>IF(AN47=21,J47,0)</f>
        <v>0</v>
      </c>
      <c r="AN47" s="50">
        <v>21</v>
      </c>
      <c r="AO47" s="50">
        <f>G47*0.68215734</f>
        <v>0</v>
      </c>
      <c r="AP47" s="50">
        <f>G47*(1-0.68215734)</f>
        <v>0</v>
      </c>
      <c r="AQ47" s="52" t="s">
        <v>114</v>
      </c>
      <c r="AV47" s="50">
        <f>ROUND(AW47+AX47,2)</f>
        <v>0</v>
      </c>
      <c r="AW47" s="50">
        <f>ROUND(F47*AO47,2)</f>
        <v>0</v>
      </c>
      <c r="AX47" s="50">
        <f>ROUND(F47*AP47,2)</f>
        <v>0</v>
      </c>
      <c r="AY47" s="52" t="s">
        <v>189</v>
      </c>
      <c r="AZ47" s="52" t="s">
        <v>172</v>
      </c>
      <c r="BA47" s="32" t="s">
        <v>121</v>
      </c>
      <c r="BC47" s="50">
        <f>AW47+AX47</f>
        <v>0</v>
      </c>
      <c r="BD47" s="50">
        <f>G47/(100-BE47)*100</f>
        <v>0</v>
      </c>
      <c r="BE47" s="50">
        <v>0</v>
      </c>
      <c r="BF47" s="50">
        <f>47</f>
        <v>47</v>
      </c>
      <c r="BH47" s="50">
        <f>F47*AO47</f>
        <v>0</v>
      </c>
      <c r="BI47" s="50">
        <f>F47*AP47</f>
        <v>0</v>
      </c>
      <c r="BJ47" s="50">
        <f>F47*G47</f>
        <v>0</v>
      </c>
      <c r="BK47" s="52" t="s">
        <v>122</v>
      </c>
      <c r="BL47" s="50">
        <v>27</v>
      </c>
      <c r="BW47" s="50">
        <v>21</v>
      </c>
      <c r="BX47" s="3" t="s">
        <v>188</v>
      </c>
    </row>
    <row r="48" spans="1:76" ht="13.5" customHeight="1" x14ac:dyDescent="0.3">
      <c r="A48" s="53"/>
      <c r="B48" s="57" t="s">
        <v>157</v>
      </c>
      <c r="C48" s="150" t="s">
        <v>190</v>
      </c>
      <c r="D48" s="151"/>
      <c r="E48" s="151"/>
      <c r="F48" s="151"/>
      <c r="G48" s="151"/>
      <c r="H48" s="151"/>
      <c r="I48" s="151"/>
      <c r="J48" s="151"/>
      <c r="K48" s="152"/>
    </row>
    <row r="49" spans="1:76" ht="14.4" x14ac:dyDescent="0.3">
      <c r="A49" s="53"/>
      <c r="C49" s="54" t="s">
        <v>191</v>
      </c>
      <c r="D49" s="54" t="s">
        <v>4</v>
      </c>
      <c r="F49" s="55">
        <v>13.7</v>
      </c>
      <c r="K49" s="56"/>
    </row>
    <row r="50" spans="1:76" ht="14.4" x14ac:dyDescent="0.3">
      <c r="A50" s="1" t="s">
        <v>124</v>
      </c>
      <c r="B50" s="2" t="s">
        <v>192</v>
      </c>
      <c r="C50" s="75" t="s">
        <v>193</v>
      </c>
      <c r="D50" s="70"/>
      <c r="E50" s="2" t="s">
        <v>177</v>
      </c>
      <c r="F50" s="50">
        <v>1.75</v>
      </c>
      <c r="G50" s="50">
        <v>0</v>
      </c>
      <c r="H50" s="50">
        <f>ROUND(F50*AO50,2)</f>
        <v>0</v>
      </c>
      <c r="I50" s="50">
        <f>ROUND(F50*AP50,2)</f>
        <v>0</v>
      </c>
      <c r="J50" s="50">
        <f>ROUND(F50*G50,2)</f>
        <v>0</v>
      </c>
      <c r="K50" s="51" t="s">
        <v>118</v>
      </c>
      <c r="Z50" s="50">
        <f>ROUND(IF(AQ50="5",BJ50,0),2)</f>
        <v>0</v>
      </c>
      <c r="AB50" s="50">
        <f>ROUND(IF(AQ50="1",BH50,0),2)</f>
        <v>0</v>
      </c>
      <c r="AC50" s="50">
        <f>ROUND(IF(AQ50="1",BI50,0),2)</f>
        <v>0</v>
      </c>
      <c r="AD50" s="50">
        <f>ROUND(IF(AQ50="7",BH50,0),2)</f>
        <v>0</v>
      </c>
      <c r="AE50" s="50">
        <f>ROUND(IF(AQ50="7",BI50,0),2)</f>
        <v>0</v>
      </c>
      <c r="AF50" s="50">
        <f>ROUND(IF(AQ50="2",BH50,0),2)</f>
        <v>0</v>
      </c>
      <c r="AG50" s="50">
        <f>ROUND(IF(AQ50="2",BI50,0),2)</f>
        <v>0</v>
      </c>
      <c r="AH50" s="50">
        <f>ROUND(IF(AQ50="0",BJ50,0),2)</f>
        <v>0</v>
      </c>
      <c r="AI50" s="32" t="s">
        <v>4</v>
      </c>
      <c r="AJ50" s="50">
        <f>IF(AN50=0,J50,0)</f>
        <v>0</v>
      </c>
      <c r="AK50" s="50">
        <f>IF(AN50=12,J50,0)</f>
        <v>0</v>
      </c>
      <c r="AL50" s="50">
        <f>IF(AN50=21,J50,0)</f>
        <v>0</v>
      </c>
      <c r="AN50" s="50">
        <v>21</v>
      </c>
      <c r="AO50" s="50">
        <f>G50*0.660958089</f>
        <v>0</v>
      </c>
      <c r="AP50" s="50">
        <f>G50*(1-0.660958089)</f>
        <v>0</v>
      </c>
      <c r="AQ50" s="52" t="s">
        <v>114</v>
      </c>
      <c r="AV50" s="50">
        <f>ROUND(AW50+AX50,2)</f>
        <v>0</v>
      </c>
      <c r="AW50" s="50">
        <f>ROUND(F50*AO50,2)</f>
        <v>0</v>
      </c>
      <c r="AX50" s="50">
        <f>ROUND(F50*AP50,2)</f>
        <v>0</v>
      </c>
      <c r="AY50" s="52" t="s">
        <v>189</v>
      </c>
      <c r="AZ50" s="52" t="s">
        <v>172</v>
      </c>
      <c r="BA50" s="32" t="s">
        <v>121</v>
      </c>
      <c r="BC50" s="50">
        <f>AW50+AX50</f>
        <v>0</v>
      </c>
      <c r="BD50" s="50">
        <f>G50/(100-BE50)*100</f>
        <v>0</v>
      </c>
      <c r="BE50" s="50">
        <v>0</v>
      </c>
      <c r="BF50" s="50">
        <f>50</f>
        <v>50</v>
      </c>
      <c r="BH50" s="50">
        <f>F50*AO50</f>
        <v>0</v>
      </c>
      <c r="BI50" s="50">
        <f>F50*AP50</f>
        <v>0</v>
      </c>
      <c r="BJ50" s="50">
        <f>F50*G50</f>
        <v>0</v>
      </c>
      <c r="BK50" s="52" t="s">
        <v>122</v>
      </c>
      <c r="BL50" s="50">
        <v>27</v>
      </c>
      <c r="BW50" s="50">
        <v>21</v>
      </c>
      <c r="BX50" s="3" t="s">
        <v>193</v>
      </c>
    </row>
    <row r="51" spans="1:76" ht="13.5" customHeight="1" x14ac:dyDescent="0.3">
      <c r="A51" s="53"/>
      <c r="B51" s="57" t="s">
        <v>157</v>
      </c>
      <c r="C51" s="150" t="s">
        <v>190</v>
      </c>
      <c r="D51" s="151"/>
      <c r="E51" s="151"/>
      <c r="F51" s="151"/>
      <c r="G51" s="151"/>
      <c r="H51" s="151"/>
      <c r="I51" s="151"/>
      <c r="J51" s="151"/>
      <c r="K51" s="152"/>
    </row>
    <row r="52" spans="1:76" ht="14.4" x14ac:dyDescent="0.3">
      <c r="A52" s="53"/>
      <c r="C52" s="54" t="s">
        <v>194</v>
      </c>
      <c r="D52" s="54" t="s">
        <v>4</v>
      </c>
      <c r="F52" s="55">
        <v>1.75</v>
      </c>
      <c r="K52" s="56"/>
    </row>
    <row r="53" spans="1:76" ht="14.4" x14ac:dyDescent="0.3">
      <c r="A53" s="1" t="s">
        <v>195</v>
      </c>
      <c r="B53" s="2" t="s">
        <v>196</v>
      </c>
      <c r="C53" s="75" t="s">
        <v>197</v>
      </c>
      <c r="D53" s="70"/>
      <c r="E53" s="2" t="s">
        <v>117</v>
      </c>
      <c r="F53" s="50">
        <v>9.3650000000000002</v>
      </c>
      <c r="G53" s="50">
        <v>0</v>
      </c>
      <c r="H53" s="50">
        <f>ROUND(F53*AO53,2)</f>
        <v>0</v>
      </c>
      <c r="I53" s="50">
        <f>ROUND(F53*AP53,2)</f>
        <v>0</v>
      </c>
      <c r="J53" s="50">
        <f>ROUND(F53*G53,2)</f>
        <v>0</v>
      </c>
      <c r="K53" s="51" t="s">
        <v>118</v>
      </c>
      <c r="Z53" s="50">
        <f>ROUND(IF(AQ53="5",BJ53,0),2)</f>
        <v>0</v>
      </c>
      <c r="AB53" s="50">
        <f>ROUND(IF(AQ53="1",BH53,0),2)</f>
        <v>0</v>
      </c>
      <c r="AC53" s="50">
        <f>ROUND(IF(AQ53="1",BI53,0),2)</f>
        <v>0</v>
      </c>
      <c r="AD53" s="50">
        <f>ROUND(IF(AQ53="7",BH53,0),2)</f>
        <v>0</v>
      </c>
      <c r="AE53" s="50">
        <f>ROUND(IF(AQ53="7",BI53,0),2)</f>
        <v>0</v>
      </c>
      <c r="AF53" s="50">
        <f>ROUND(IF(AQ53="2",BH53,0),2)</f>
        <v>0</v>
      </c>
      <c r="AG53" s="50">
        <f>ROUND(IF(AQ53="2",BI53,0),2)</f>
        <v>0</v>
      </c>
      <c r="AH53" s="50">
        <f>ROUND(IF(AQ53="0",BJ53,0),2)</f>
        <v>0</v>
      </c>
      <c r="AI53" s="32" t="s">
        <v>4</v>
      </c>
      <c r="AJ53" s="50">
        <f>IF(AN53=0,J53,0)</f>
        <v>0</v>
      </c>
      <c r="AK53" s="50">
        <f>IF(AN53=12,J53,0)</f>
        <v>0</v>
      </c>
      <c r="AL53" s="50">
        <f>IF(AN53=21,J53,0)</f>
        <v>0</v>
      </c>
      <c r="AN53" s="50">
        <v>21</v>
      </c>
      <c r="AO53" s="50">
        <f>G53*0.899963703</f>
        <v>0</v>
      </c>
      <c r="AP53" s="50">
        <f>G53*(1-0.899963703)</f>
        <v>0</v>
      </c>
      <c r="AQ53" s="52" t="s">
        <v>114</v>
      </c>
      <c r="AV53" s="50">
        <f>ROUND(AW53+AX53,2)</f>
        <v>0</v>
      </c>
      <c r="AW53" s="50">
        <f>ROUND(F53*AO53,2)</f>
        <v>0</v>
      </c>
      <c r="AX53" s="50">
        <f>ROUND(F53*AP53,2)</f>
        <v>0</v>
      </c>
      <c r="AY53" s="52" t="s">
        <v>189</v>
      </c>
      <c r="AZ53" s="52" t="s">
        <v>172</v>
      </c>
      <c r="BA53" s="32" t="s">
        <v>121</v>
      </c>
      <c r="BC53" s="50">
        <f>AW53+AX53</f>
        <v>0</v>
      </c>
      <c r="BD53" s="50">
        <f>G53/(100-BE53)*100</f>
        <v>0</v>
      </c>
      <c r="BE53" s="50">
        <v>0</v>
      </c>
      <c r="BF53" s="50">
        <f>53</f>
        <v>53</v>
      </c>
      <c r="BH53" s="50">
        <f>F53*AO53</f>
        <v>0</v>
      </c>
      <c r="BI53" s="50">
        <f>F53*AP53</f>
        <v>0</v>
      </c>
      <c r="BJ53" s="50">
        <f>F53*G53</f>
        <v>0</v>
      </c>
      <c r="BK53" s="52" t="s">
        <v>122</v>
      </c>
      <c r="BL53" s="50">
        <v>27</v>
      </c>
      <c r="BW53" s="50">
        <v>21</v>
      </c>
      <c r="BX53" s="3" t="s">
        <v>197</v>
      </c>
    </row>
    <row r="54" spans="1:76" ht="14.4" x14ac:dyDescent="0.3">
      <c r="A54" s="53"/>
      <c r="C54" s="54" t="s">
        <v>198</v>
      </c>
      <c r="D54" s="54" t="s">
        <v>4</v>
      </c>
      <c r="F54" s="55">
        <v>8.49</v>
      </c>
      <c r="K54" s="56"/>
    </row>
    <row r="55" spans="1:76" ht="14.4" x14ac:dyDescent="0.3">
      <c r="A55" s="53"/>
      <c r="C55" s="54" t="s">
        <v>199</v>
      </c>
      <c r="D55" s="54" t="s">
        <v>4</v>
      </c>
      <c r="F55" s="55">
        <v>0.875</v>
      </c>
      <c r="K55" s="56"/>
    </row>
    <row r="56" spans="1:76" ht="14.4" x14ac:dyDescent="0.3">
      <c r="A56" s="1" t="s">
        <v>200</v>
      </c>
      <c r="B56" s="2" t="s">
        <v>201</v>
      </c>
      <c r="C56" s="75" t="s">
        <v>202</v>
      </c>
      <c r="D56" s="70"/>
      <c r="E56" s="2" t="s">
        <v>177</v>
      </c>
      <c r="F56" s="50">
        <v>15.45</v>
      </c>
      <c r="G56" s="50">
        <v>0</v>
      </c>
      <c r="H56" s="50">
        <f>ROUND(F56*AO56,2)</f>
        <v>0</v>
      </c>
      <c r="I56" s="50">
        <f>ROUND(F56*AP56,2)</f>
        <v>0</v>
      </c>
      <c r="J56" s="50">
        <f>ROUND(F56*G56,2)</f>
        <v>0</v>
      </c>
      <c r="K56" s="51" t="s">
        <v>118</v>
      </c>
      <c r="Z56" s="50">
        <f>ROUND(IF(AQ56="5",BJ56,0),2)</f>
        <v>0</v>
      </c>
      <c r="AB56" s="50">
        <f>ROUND(IF(AQ56="1",BH56,0),2)</f>
        <v>0</v>
      </c>
      <c r="AC56" s="50">
        <f>ROUND(IF(AQ56="1",BI56,0),2)</f>
        <v>0</v>
      </c>
      <c r="AD56" s="50">
        <f>ROUND(IF(AQ56="7",BH56,0),2)</f>
        <v>0</v>
      </c>
      <c r="AE56" s="50">
        <f>ROUND(IF(AQ56="7",BI56,0),2)</f>
        <v>0</v>
      </c>
      <c r="AF56" s="50">
        <f>ROUND(IF(AQ56="2",BH56,0),2)</f>
        <v>0</v>
      </c>
      <c r="AG56" s="50">
        <f>ROUND(IF(AQ56="2",BI56,0),2)</f>
        <v>0</v>
      </c>
      <c r="AH56" s="50">
        <f>ROUND(IF(AQ56="0",BJ56,0),2)</f>
        <v>0</v>
      </c>
      <c r="AI56" s="32" t="s">
        <v>4</v>
      </c>
      <c r="AJ56" s="50">
        <f>IF(AN56=0,J56,0)</f>
        <v>0</v>
      </c>
      <c r="AK56" s="50">
        <f>IF(AN56=12,J56,0)</f>
        <v>0</v>
      </c>
      <c r="AL56" s="50">
        <f>IF(AN56=21,J56,0)</f>
        <v>0</v>
      </c>
      <c r="AN56" s="50">
        <v>21</v>
      </c>
      <c r="AO56" s="50">
        <f>G56*0.727508091</f>
        <v>0</v>
      </c>
      <c r="AP56" s="50">
        <f>G56*(1-0.727508091)</f>
        <v>0</v>
      </c>
      <c r="AQ56" s="52" t="s">
        <v>114</v>
      </c>
      <c r="AV56" s="50">
        <f>ROUND(AW56+AX56,2)</f>
        <v>0</v>
      </c>
      <c r="AW56" s="50">
        <f>ROUND(F56*AO56,2)</f>
        <v>0</v>
      </c>
      <c r="AX56" s="50">
        <f>ROUND(F56*AP56,2)</f>
        <v>0</v>
      </c>
      <c r="AY56" s="52" t="s">
        <v>189</v>
      </c>
      <c r="AZ56" s="52" t="s">
        <v>172</v>
      </c>
      <c r="BA56" s="32" t="s">
        <v>121</v>
      </c>
      <c r="BC56" s="50">
        <f>AW56+AX56</f>
        <v>0</v>
      </c>
      <c r="BD56" s="50">
        <f>G56/(100-BE56)*100</f>
        <v>0</v>
      </c>
      <c r="BE56" s="50">
        <v>0</v>
      </c>
      <c r="BF56" s="50">
        <f>56</f>
        <v>56</v>
      </c>
      <c r="BH56" s="50">
        <f>F56*AO56</f>
        <v>0</v>
      </c>
      <c r="BI56" s="50">
        <f>F56*AP56</f>
        <v>0</v>
      </c>
      <c r="BJ56" s="50">
        <f>F56*G56</f>
        <v>0</v>
      </c>
      <c r="BK56" s="52" t="s">
        <v>122</v>
      </c>
      <c r="BL56" s="50">
        <v>27</v>
      </c>
      <c r="BW56" s="50">
        <v>21</v>
      </c>
      <c r="BX56" s="3" t="s">
        <v>202</v>
      </c>
    </row>
    <row r="57" spans="1:76" ht="14.4" x14ac:dyDescent="0.3">
      <c r="A57" s="53"/>
      <c r="C57" s="54" t="s">
        <v>191</v>
      </c>
      <c r="D57" s="54" t="s">
        <v>4</v>
      </c>
      <c r="F57" s="55">
        <v>13.7</v>
      </c>
      <c r="K57" s="56"/>
    </row>
    <row r="58" spans="1:76" ht="14.4" x14ac:dyDescent="0.3">
      <c r="A58" s="53"/>
      <c r="C58" s="54" t="s">
        <v>194</v>
      </c>
      <c r="D58" s="54" t="s">
        <v>4</v>
      </c>
      <c r="F58" s="55">
        <v>1.75</v>
      </c>
      <c r="K58" s="56"/>
    </row>
    <row r="59" spans="1:76" ht="14.4" x14ac:dyDescent="0.3">
      <c r="A59" s="1" t="s">
        <v>144</v>
      </c>
      <c r="B59" s="2" t="s">
        <v>203</v>
      </c>
      <c r="C59" s="75" t="s">
        <v>204</v>
      </c>
      <c r="D59" s="70"/>
      <c r="E59" s="2" t="s">
        <v>117</v>
      </c>
      <c r="F59" s="50">
        <v>5.8140000000000001</v>
      </c>
      <c r="G59" s="50">
        <v>0</v>
      </c>
      <c r="H59" s="50">
        <f>ROUND(F59*AO59,2)</f>
        <v>0</v>
      </c>
      <c r="I59" s="50">
        <f>ROUND(F59*AP59,2)</f>
        <v>0</v>
      </c>
      <c r="J59" s="50">
        <f>ROUND(F59*G59,2)</f>
        <v>0</v>
      </c>
      <c r="K59" s="51" t="s">
        <v>118</v>
      </c>
      <c r="Z59" s="50">
        <f>ROUND(IF(AQ59="5",BJ59,0),2)</f>
        <v>0</v>
      </c>
      <c r="AB59" s="50">
        <f>ROUND(IF(AQ59="1",BH59,0),2)</f>
        <v>0</v>
      </c>
      <c r="AC59" s="50">
        <f>ROUND(IF(AQ59="1",BI59,0),2)</f>
        <v>0</v>
      </c>
      <c r="AD59" s="50">
        <f>ROUND(IF(AQ59="7",BH59,0),2)</f>
        <v>0</v>
      </c>
      <c r="AE59" s="50">
        <f>ROUND(IF(AQ59="7",BI59,0),2)</f>
        <v>0</v>
      </c>
      <c r="AF59" s="50">
        <f>ROUND(IF(AQ59="2",BH59,0),2)</f>
        <v>0</v>
      </c>
      <c r="AG59" s="50">
        <f>ROUND(IF(AQ59="2",BI59,0),2)</f>
        <v>0</v>
      </c>
      <c r="AH59" s="50">
        <f>ROUND(IF(AQ59="0",BJ59,0),2)</f>
        <v>0</v>
      </c>
      <c r="AI59" s="32" t="s">
        <v>4</v>
      </c>
      <c r="AJ59" s="50">
        <f>IF(AN59=0,J59,0)</f>
        <v>0</v>
      </c>
      <c r="AK59" s="50">
        <f>IF(AN59=12,J59,0)</f>
        <v>0</v>
      </c>
      <c r="AL59" s="50">
        <f>IF(AN59=21,J59,0)</f>
        <v>0</v>
      </c>
      <c r="AN59" s="50">
        <v>21</v>
      </c>
      <c r="AO59" s="50">
        <f>G59*0.615216618</f>
        <v>0</v>
      </c>
      <c r="AP59" s="50">
        <f>G59*(1-0.615216618)</f>
        <v>0</v>
      </c>
      <c r="AQ59" s="52" t="s">
        <v>114</v>
      </c>
      <c r="AV59" s="50">
        <f>ROUND(AW59+AX59,2)</f>
        <v>0</v>
      </c>
      <c r="AW59" s="50">
        <f>ROUND(F59*AO59,2)</f>
        <v>0</v>
      </c>
      <c r="AX59" s="50">
        <f>ROUND(F59*AP59,2)</f>
        <v>0</v>
      </c>
      <c r="AY59" s="52" t="s">
        <v>189</v>
      </c>
      <c r="AZ59" s="52" t="s">
        <v>172</v>
      </c>
      <c r="BA59" s="32" t="s">
        <v>121</v>
      </c>
      <c r="BC59" s="50">
        <f>AW59+AX59</f>
        <v>0</v>
      </c>
      <c r="BD59" s="50">
        <f>G59/(100-BE59)*100</f>
        <v>0</v>
      </c>
      <c r="BE59" s="50">
        <v>0</v>
      </c>
      <c r="BF59" s="50">
        <f>59</f>
        <v>59</v>
      </c>
      <c r="BH59" s="50">
        <f>F59*AO59</f>
        <v>0</v>
      </c>
      <c r="BI59" s="50">
        <f>F59*AP59</f>
        <v>0</v>
      </c>
      <c r="BJ59" s="50">
        <f>F59*G59</f>
        <v>0</v>
      </c>
      <c r="BK59" s="52" t="s">
        <v>122</v>
      </c>
      <c r="BL59" s="50">
        <v>27</v>
      </c>
      <c r="BW59" s="50">
        <v>21</v>
      </c>
      <c r="BX59" s="3" t="s">
        <v>204</v>
      </c>
    </row>
    <row r="60" spans="1:76" ht="14.4" x14ac:dyDescent="0.3">
      <c r="A60" s="53"/>
      <c r="C60" s="54" t="s">
        <v>205</v>
      </c>
      <c r="D60" s="54" t="s">
        <v>4</v>
      </c>
      <c r="F60" s="55">
        <v>5.8140000000000001</v>
      </c>
      <c r="K60" s="56"/>
    </row>
    <row r="61" spans="1:76" ht="14.4" x14ac:dyDescent="0.3">
      <c r="A61" s="1" t="s">
        <v>151</v>
      </c>
      <c r="B61" s="2" t="s">
        <v>206</v>
      </c>
      <c r="C61" s="75" t="s">
        <v>207</v>
      </c>
      <c r="D61" s="70"/>
      <c r="E61" s="2" t="s">
        <v>117</v>
      </c>
      <c r="F61" s="50">
        <v>6.9930000000000003</v>
      </c>
      <c r="G61" s="50">
        <v>0</v>
      </c>
      <c r="H61" s="50">
        <f>ROUND(F61*AO61,2)</f>
        <v>0</v>
      </c>
      <c r="I61" s="50">
        <f>ROUND(F61*AP61,2)</f>
        <v>0</v>
      </c>
      <c r="J61" s="50">
        <f>ROUND(F61*G61,2)</f>
        <v>0</v>
      </c>
      <c r="K61" s="51" t="s">
        <v>118</v>
      </c>
      <c r="Z61" s="50">
        <f>ROUND(IF(AQ61="5",BJ61,0),2)</f>
        <v>0</v>
      </c>
      <c r="AB61" s="50">
        <f>ROUND(IF(AQ61="1",BH61,0),2)</f>
        <v>0</v>
      </c>
      <c r="AC61" s="50">
        <f>ROUND(IF(AQ61="1",BI61,0),2)</f>
        <v>0</v>
      </c>
      <c r="AD61" s="50">
        <f>ROUND(IF(AQ61="7",BH61,0),2)</f>
        <v>0</v>
      </c>
      <c r="AE61" s="50">
        <f>ROUND(IF(AQ61="7",BI61,0),2)</f>
        <v>0</v>
      </c>
      <c r="AF61" s="50">
        <f>ROUND(IF(AQ61="2",BH61,0),2)</f>
        <v>0</v>
      </c>
      <c r="AG61" s="50">
        <f>ROUND(IF(AQ61="2",BI61,0),2)</f>
        <v>0</v>
      </c>
      <c r="AH61" s="50">
        <f>ROUND(IF(AQ61="0",BJ61,0),2)</f>
        <v>0</v>
      </c>
      <c r="AI61" s="32" t="s">
        <v>4</v>
      </c>
      <c r="AJ61" s="50">
        <f>IF(AN61=0,J61,0)</f>
        <v>0</v>
      </c>
      <c r="AK61" s="50">
        <f>IF(AN61=12,J61,0)</f>
        <v>0</v>
      </c>
      <c r="AL61" s="50">
        <f>IF(AN61=21,J61,0)</f>
        <v>0</v>
      </c>
      <c r="AN61" s="50">
        <v>21</v>
      </c>
      <c r="AO61" s="50">
        <f>G61*0.908473763</f>
        <v>0</v>
      </c>
      <c r="AP61" s="50">
        <f>G61*(1-0.908473763)</f>
        <v>0</v>
      </c>
      <c r="AQ61" s="52" t="s">
        <v>114</v>
      </c>
      <c r="AV61" s="50">
        <f>ROUND(AW61+AX61,2)</f>
        <v>0</v>
      </c>
      <c r="AW61" s="50">
        <f>ROUND(F61*AO61,2)</f>
        <v>0</v>
      </c>
      <c r="AX61" s="50">
        <f>ROUND(F61*AP61,2)</f>
        <v>0</v>
      </c>
      <c r="AY61" s="52" t="s">
        <v>189</v>
      </c>
      <c r="AZ61" s="52" t="s">
        <v>172</v>
      </c>
      <c r="BA61" s="32" t="s">
        <v>121</v>
      </c>
      <c r="BC61" s="50">
        <f>AW61+AX61</f>
        <v>0</v>
      </c>
      <c r="BD61" s="50">
        <f>G61/(100-BE61)*100</f>
        <v>0</v>
      </c>
      <c r="BE61" s="50">
        <v>0</v>
      </c>
      <c r="BF61" s="50">
        <f>61</f>
        <v>61</v>
      </c>
      <c r="BH61" s="50">
        <f>F61*AO61</f>
        <v>0</v>
      </c>
      <c r="BI61" s="50">
        <f>F61*AP61</f>
        <v>0</v>
      </c>
      <c r="BJ61" s="50">
        <f>F61*G61</f>
        <v>0</v>
      </c>
      <c r="BK61" s="52" t="s">
        <v>122</v>
      </c>
      <c r="BL61" s="50">
        <v>27</v>
      </c>
      <c r="BW61" s="50">
        <v>21</v>
      </c>
      <c r="BX61" s="3" t="s">
        <v>207</v>
      </c>
    </row>
    <row r="62" spans="1:76" ht="14.4" x14ac:dyDescent="0.3">
      <c r="A62" s="53"/>
      <c r="C62" s="54" t="s">
        <v>208</v>
      </c>
      <c r="D62" s="54" t="s">
        <v>4</v>
      </c>
      <c r="F62" s="55">
        <v>6.9930000000000003</v>
      </c>
      <c r="K62" s="56"/>
    </row>
    <row r="63" spans="1:76" ht="14.4" x14ac:dyDescent="0.3">
      <c r="A63" s="1" t="s">
        <v>209</v>
      </c>
      <c r="B63" s="2" t="s">
        <v>210</v>
      </c>
      <c r="C63" s="75" t="s">
        <v>211</v>
      </c>
      <c r="D63" s="70"/>
      <c r="E63" s="2" t="s">
        <v>177</v>
      </c>
      <c r="F63" s="50">
        <v>5.48</v>
      </c>
      <c r="G63" s="50">
        <v>0</v>
      </c>
      <c r="H63" s="50">
        <f>ROUND(F63*AO63,2)</f>
        <v>0</v>
      </c>
      <c r="I63" s="50">
        <f>ROUND(F63*AP63,2)</f>
        <v>0</v>
      </c>
      <c r="J63" s="50">
        <f>ROUND(F63*G63,2)</f>
        <v>0</v>
      </c>
      <c r="K63" s="51" t="s">
        <v>118</v>
      </c>
      <c r="Z63" s="50">
        <f>ROUND(IF(AQ63="5",BJ63,0),2)</f>
        <v>0</v>
      </c>
      <c r="AB63" s="50">
        <f>ROUND(IF(AQ63="1",BH63,0),2)</f>
        <v>0</v>
      </c>
      <c r="AC63" s="50">
        <f>ROUND(IF(AQ63="1",BI63,0),2)</f>
        <v>0</v>
      </c>
      <c r="AD63" s="50">
        <f>ROUND(IF(AQ63="7",BH63,0),2)</f>
        <v>0</v>
      </c>
      <c r="AE63" s="50">
        <f>ROUND(IF(AQ63="7",BI63,0),2)</f>
        <v>0</v>
      </c>
      <c r="AF63" s="50">
        <f>ROUND(IF(AQ63="2",BH63,0),2)</f>
        <v>0</v>
      </c>
      <c r="AG63" s="50">
        <f>ROUND(IF(AQ63="2",BI63,0),2)</f>
        <v>0</v>
      </c>
      <c r="AH63" s="50">
        <f>ROUND(IF(AQ63="0",BJ63,0),2)</f>
        <v>0</v>
      </c>
      <c r="AI63" s="32" t="s">
        <v>4</v>
      </c>
      <c r="AJ63" s="50">
        <f>IF(AN63=0,J63,0)</f>
        <v>0</v>
      </c>
      <c r="AK63" s="50">
        <f>IF(AN63=12,J63,0)</f>
        <v>0</v>
      </c>
      <c r="AL63" s="50">
        <f>IF(AN63=21,J63,0)</f>
        <v>0</v>
      </c>
      <c r="AN63" s="50">
        <v>21</v>
      </c>
      <c r="AO63" s="50">
        <f>G63*0.233783608</f>
        <v>0</v>
      </c>
      <c r="AP63" s="50">
        <f>G63*(1-0.233783608)</f>
        <v>0</v>
      </c>
      <c r="AQ63" s="52" t="s">
        <v>114</v>
      </c>
      <c r="AV63" s="50">
        <f>ROUND(AW63+AX63,2)</f>
        <v>0</v>
      </c>
      <c r="AW63" s="50">
        <f>ROUND(F63*AO63,2)</f>
        <v>0</v>
      </c>
      <c r="AX63" s="50">
        <f>ROUND(F63*AP63,2)</f>
        <v>0</v>
      </c>
      <c r="AY63" s="52" t="s">
        <v>189</v>
      </c>
      <c r="AZ63" s="52" t="s">
        <v>172</v>
      </c>
      <c r="BA63" s="32" t="s">
        <v>121</v>
      </c>
      <c r="BC63" s="50">
        <f>AW63+AX63</f>
        <v>0</v>
      </c>
      <c r="BD63" s="50">
        <f>G63/(100-BE63)*100</f>
        <v>0</v>
      </c>
      <c r="BE63" s="50">
        <v>0</v>
      </c>
      <c r="BF63" s="50">
        <f>63</f>
        <v>63</v>
      </c>
      <c r="BH63" s="50">
        <f>F63*AO63</f>
        <v>0</v>
      </c>
      <c r="BI63" s="50">
        <f>F63*AP63</f>
        <v>0</v>
      </c>
      <c r="BJ63" s="50">
        <f>F63*G63</f>
        <v>0</v>
      </c>
      <c r="BK63" s="52" t="s">
        <v>122</v>
      </c>
      <c r="BL63" s="50">
        <v>27</v>
      </c>
      <c r="BW63" s="50">
        <v>21</v>
      </c>
      <c r="BX63" s="3" t="s">
        <v>211</v>
      </c>
    </row>
    <row r="64" spans="1:76" ht="14.4" x14ac:dyDescent="0.3">
      <c r="A64" s="53"/>
      <c r="C64" s="54" t="s">
        <v>212</v>
      </c>
      <c r="D64" s="54" t="s">
        <v>4</v>
      </c>
      <c r="F64" s="55">
        <v>5.48</v>
      </c>
      <c r="K64" s="56"/>
    </row>
    <row r="65" spans="1:76" ht="14.4" x14ac:dyDescent="0.3">
      <c r="A65" s="1" t="s">
        <v>213</v>
      </c>
      <c r="B65" s="2" t="s">
        <v>214</v>
      </c>
      <c r="C65" s="75" t="s">
        <v>215</v>
      </c>
      <c r="D65" s="70"/>
      <c r="E65" s="2" t="s">
        <v>177</v>
      </c>
      <c r="F65" s="50">
        <v>5.48</v>
      </c>
      <c r="G65" s="50">
        <v>0</v>
      </c>
      <c r="H65" s="50">
        <f>ROUND(F65*AO65,2)</f>
        <v>0</v>
      </c>
      <c r="I65" s="50">
        <f>ROUND(F65*AP65,2)</f>
        <v>0</v>
      </c>
      <c r="J65" s="50">
        <f>ROUND(F65*G65,2)</f>
        <v>0</v>
      </c>
      <c r="K65" s="51" t="s">
        <v>118</v>
      </c>
      <c r="Z65" s="50">
        <f>ROUND(IF(AQ65="5",BJ65,0),2)</f>
        <v>0</v>
      </c>
      <c r="AB65" s="50">
        <f>ROUND(IF(AQ65="1",BH65,0),2)</f>
        <v>0</v>
      </c>
      <c r="AC65" s="50">
        <f>ROUND(IF(AQ65="1",BI65,0),2)</f>
        <v>0</v>
      </c>
      <c r="AD65" s="50">
        <f>ROUND(IF(AQ65="7",BH65,0),2)</f>
        <v>0</v>
      </c>
      <c r="AE65" s="50">
        <f>ROUND(IF(AQ65="7",BI65,0),2)</f>
        <v>0</v>
      </c>
      <c r="AF65" s="50">
        <f>ROUND(IF(AQ65="2",BH65,0),2)</f>
        <v>0</v>
      </c>
      <c r="AG65" s="50">
        <f>ROUND(IF(AQ65="2",BI65,0),2)</f>
        <v>0</v>
      </c>
      <c r="AH65" s="50">
        <f>ROUND(IF(AQ65="0",BJ65,0),2)</f>
        <v>0</v>
      </c>
      <c r="AI65" s="32" t="s">
        <v>4</v>
      </c>
      <c r="AJ65" s="50">
        <f>IF(AN65=0,J65,0)</f>
        <v>0</v>
      </c>
      <c r="AK65" s="50">
        <f>IF(AN65=12,J65,0)</f>
        <v>0</v>
      </c>
      <c r="AL65" s="50">
        <f>IF(AN65=21,J65,0)</f>
        <v>0</v>
      </c>
      <c r="AN65" s="50">
        <v>21</v>
      </c>
      <c r="AO65" s="50">
        <f>G65*0</f>
        <v>0</v>
      </c>
      <c r="AP65" s="50">
        <f>G65*(1-0)</f>
        <v>0</v>
      </c>
      <c r="AQ65" s="52" t="s">
        <v>114</v>
      </c>
      <c r="AV65" s="50">
        <f>ROUND(AW65+AX65,2)</f>
        <v>0</v>
      </c>
      <c r="AW65" s="50">
        <f>ROUND(F65*AO65,2)</f>
        <v>0</v>
      </c>
      <c r="AX65" s="50">
        <f>ROUND(F65*AP65,2)</f>
        <v>0</v>
      </c>
      <c r="AY65" s="52" t="s">
        <v>189</v>
      </c>
      <c r="AZ65" s="52" t="s">
        <v>172</v>
      </c>
      <c r="BA65" s="32" t="s">
        <v>121</v>
      </c>
      <c r="BC65" s="50">
        <f>AW65+AX65</f>
        <v>0</v>
      </c>
      <c r="BD65" s="50">
        <f>G65/(100-BE65)*100</f>
        <v>0</v>
      </c>
      <c r="BE65" s="50">
        <v>0</v>
      </c>
      <c r="BF65" s="50">
        <f>65</f>
        <v>65</v>
      </c>
      <c r="BH65" s="50">
        <f>F65*AO65</f>
        <v>0</v>
      </c>
      <c r="BI65" s="50">
        <f>F65*AP65</f>
        <v>0</v>
      </c>
      <c r="BJ65" s="50">
        <f>F65*G65</f>
        <v>0</v>
      </c>
      <c r="BK65" s="52" t="s">
        <v>122</v>
      </c>
      <c r="BL65" s="50">
        <v>27</v>
      </c>
      <c r="BW65" s="50">
        <v>21</v>
      </c>
      <c r="BX65" s="3" t="s">
        <v>215</v>
      </c>
    </row>
    <row r="66" spans="1:76" ht="14.4" x14ac:dyDescent="0.3">
      <c r="A66" s="53"/>
      <c r="C66" s="54" t="s">
        <v>212</v>
      </c>
      <c r="D66" s="54" t="s">
        <v>4</v>
      </c>
      <c r="F66" s="55">
        <v>5.48</v>
      </c>
      <c r="K66" s="56"/>
    </row>
    <row r="67" spans="1:76" ht="14.4" x14ac:dyDescent="0.3">
      <c r="A67" s="1" t="s">
        <v>216</v>
      </c>
      <c r="B67" s="2" t="s">
        <v>217</v>
      </c>
      <c r="C67" s="75" t="s">
        <v>218</v>
      </c>
      <c r="D67" s="70"/>
      <c r="E67" s="2" t="s">
        <v>219</v>
      </c>
      <c r="F67" s="50">
        <v>0.41026000000000001</v>
      </c>
      <c r="G67" s="50">
        <v>0</v>
      </c>
      <c r="H67" s="50">
        <f>ROUND(F67*AO67,2)</f>
        <v>0</v>
      </c>
      <c r="I67" s="50">
        <f>ROUND(F67*AP67,2)</f>
        <v>0</v>
      </c>
      <c r="J67" s="50">
        <f>ROUND(F67*G67,2)</f>
        <v>0</v>
      </c>
      <c r="K67" s="51" t="s">
        <v>118</v>
      </c>
      <c r="Z67" s="50">
        <f>ROUND(IF(AQ67="5",BJ67,0),2)</f>
        <v>0</v>
      </c>
      <c r="AB67" s="50">
        <f>ROUND(IF(AQ67="1",BH67,0),2)</f>
        <v>0</v>
      </c>
      <c r="AC67" s="50">
        <f>ROUND(IF(AQ67="1",BI67,0),2)</f>
        <v>0</v>
      </c>
      <c r="AD67" s="50">
        <f>ROUND(IF(AQ67="7",BH67,0),2)</f>
        <v>0</v>
      </c>
      <c r="AE67" s="50">
        <f>ROUND(IF(AQ67="7",BI67,0),2)</f>
        <v>0</v>
      </c>
      <c r="AF67" s="50">
        <f>ROUND(IF(AQ67="2",BH67,0),2)</f>
        <v>0</v>
      </c>
      <c r="AG67" s="50">
        <f>ROUND(IF(AQ67="2",BI67,0),2)</f>
        <v>0</v>
      </c>
      <c r="AH67" s="50">
        <f>ROUND(IF(AQ67="0",BJ67,0),2)</f>
        <v>0</v>
      </c>
      <c r="AI67" s="32" t="s">
        <v>4</v>
      </c>
      <c r="AJ67" s="50">
        <f>IF(AN67=0,J67,0)</f>
        <v>0</v>
      </c>
      <c r="AK67" s="50">
        <f>IF(AN67=12,J67,0)</f>
        <v>0</v>
      </c>
      <c r="AL67" s="50">
        <f>IF(AN67=21,J67,0)</f>
        <v>0</v>
      </c>
      <c r="AN67" s="50">
        <v>21</v>
      </c>
      <c r="AO67" s="50">
        <f>G67*0.790852567</f>
        <v>0</v>
      </c>
      <c r="AP67" s="50">
        <f>G67*(1-0.790852567)</f>
        <v>0</v>
      </c>
      <c r="AQ67" s="52" t="s">
        <v>114</v>
      </c>
      <c r="AV67" s="50">
        <f>ROUND(AW67+AX67,2)</f>
        <v>0</v>
      </c>
      <c r="AW67" s="50">
        <f>ROUND(F67*AO67,2)</f>
        <v>0</v>
      </c>
      <c r="AX67" s="50">
        <f>ROUND(F67*AP67,2)</f>
        <v>0</v>
      </c>
      <c r="AY67" s="52" t="s">
        <v>189</v>
      </c>
      <c r="AZ67" s="52" t="s">
        <v>172</v>
      </c>
      <c r="BA67" s="32" t="s">
        <v>121</v>
      </c>
      <c r="BC67" s="50">
        <f>AW67+AX67</f>
        <v>0</v>
      </c>
      <c r="BD67" s="50">
        <f>G67/(100-BE67)*100</f>
        <v>0</v>
      </c>
      <c r="BE67" s="50">
        <v>0</v>
      </c>
      <c r="BF67" s="50">
        <f>67</f>
        <v>67</v>
      </c>
      <c r="BH67" s="50">
        <f>F67*AO67</f>
        <v>0</v>
      </c>
      <c r="BI67" s="50">
        <f>F67*AP67</f>
        <v>0</v>
      </c>
      <c r="BJ67" s="50">
        <f>F67*G67</f>
        <v>0</v>
      </c>
      <c r="BK67" s="52" t="s">
        <v>122</v>
      </c>
      <c r="BL67" s="50">
        <v>27</v>
      </c>
      <c r="BW67" s="50">
        <v>21</v>
      </c>
      <c r="BX67" s="3" t="s">
        <v>218</v>
      </c>
    </row>
    <row r="68" spans="1:76" ht="13.5" customHeight="1" x14ac:dyDescent="0.3">
      <c r="A68" s="53"/>
      <c r="B68" s="57" t="s">
        <v>157</v>
      </c>
      <c r="C68" s="150" t="s">
        <v>220</v>
      </c>
      <c r="D68" s="151"/>
      <c r="E68" s="151"/>
      <c r="F68" s="151"/>
      <c r="G68" s="151"/>
      <c r="H68" s="151"/>
      <c r="I68" s="151"/>
      <c r="J68" s="151"/>
      <c r="K68" s="152"/>
    </row>
    <row r="69" spans="1:76" ht="14.4" x14ac:dyDescent="0.3">
      <c r="A69" s="53"/>
      <c r="C69" s="54" t="s">
        <v>221</v>
      </c>
      <c r="D69" s="54" t="s">
        <v>4</v>
      </c>
      <c r="F69" s="55">
        <v>0.41026000000000001</v>
      </c>
      <c r="K69" s="56"/>
    </row>
    <row r="70" spans="1:76" ht="14.4" x14ac:dyDescent="0.3">
      <c r="A70" s="46" t="s">
        <v>4</v>
      </c>
      <c r="B70" s="47" t="s">
        <v>222</v>
      </c>
      <c r="C70" s="148" t="s">
        <v>223</v>
      </c>
      <c r="D70" s="149"/>
      <c r="E70" s="48" t="s">
        <v>79</v>
      </c>
      <c r="F70" s="48" t="s">
        <v>79</v>
      </c>
      <c r="G70" s="48" t="s">
        <v>79</v>
      </c>
      <c r="H70" s="26">
        <f>ROUND(SUM(H71:H90),2)</f>
        <v>0</v>
      </c>
      <c r="I70" s="26">
        <f>ROUND(SUM(I71:I90),2)</f>
        <v>0</v>
      </c>
      <c r="J70" s="26">
        <f>ROUND(SUM(J71:J90),2)</f>
        <v>0</v>
      </c>
      <c r="K70" s="49" t="s">
        <v>4</v>
      </c>
      <c r="AI70" s="32" t="s">
        <v>4</v>
      </c>
      <c r="AS70" s="26">
        <f>SUM(AJ71:AJ90)</f>
        <v>0</v>
      </c>
      <c r="AT70" s="26">
        <f>SUM(AK71:AK90)</f>
        <v>0</v>
      </c>
      <c r="AU70" s="26">
        <f>SUM(AL71:AL90)</f>
        <v>0</v>
      </c>
    </row>
    <row r="71" spans="1:76" ht="14.4" x14ac:dyDescent="0.3">
      <c r="A71" s="1" t="s">
        <v>166</v>
      </c>
      <c r="B71" s="2" t="s">
        <v>224</v>
      </c>
      <c r="C71" s="75" t="s">
        <v>225</v>
      </c>
      <c r="D71" s="70"/>
      <c r="E71" s="2" t="s">
        <v>177</v>
      </c>
      <c r="F71" s="50">
        <v>78.382499999999993</v>
      </c>
      <c r="G71" s="50">
        <v>0</v>
      </c>
      <c r="H71" s="50">
        <f>ROUND(F71*AO71,2)</f>
        <v>0</v>
      </c>
      <c r="I71" s="50">
        <f>ROUND(F71*AP71,2)</f>
        <v>0</v>
      </c>
      <c r="J71" s="50">
        <f>ROUND(F71*G71,2)</f>
        <v>0</v>
      </c>
      <c r="K71" s="51" t="s">
        <v>118</v>
      </c>
      <c r="Z71" s="50">
        <f>ROUND(IF(AQ71="5",BJ71,0),2)</f>
        <v>0</v>
      </c>
      <c r="AB71" s="50">
        <f>ROUND(IF(AQ71="1",BH71,0),2)</f>
        <v>0</v>
      </c>
      <c r="AC71" s="50">
        <f>ROUND(IF(AQ71="1",BI71,0),2)</f>
        <v>0</v>
      </c>
      <c r="AD71" s="50">
        <f>ROUND(IF(AQ71="7",BH71,0),2)</f>
        <v>0</v>
      </c>
      <c r="AE71" s="50">
        <f>ROUND(IF(AQ71="7",BI71,0),2)</f>
        <v>0</v>
      </c>
      <c r="AF71" s="50">
        <f>ROUND(IF(AQ71="2",BH71,0),2)</f>
        <v>0</v>
      </c>
      <c r="AG71" s="50">
        <f>ROUND(IF(AQ71="2",BI71,0),2)</f>
        <v>0</v>
      </c>
      <c r="AH71" s="50">
        <f>ROUND(IF(AQ71="0",BJ71,0),2)</f>
        <v>0</v>
      </c>
      <c r="AI71" s="32" t="s">
        <v>4</v>
      </c>
      <c r="AJ71" s="50">
        <f>IF(AN71=0,J71,0)</f>
        <v>0</v>
      </c>
      <c r="AK71" s="50">
        <f>IF(AN71=12,J71,0)</f>
        <v>0</v>
      </c>
      <c r="AL71" s="50">
        <f>IF(AN71=21,J71,0)</f>
        <v>0</v>
      </c>
      <c r="AN71" s="50">
        <v>21</v>
      </c>
      <c r="AO71" s="50">
        <f>G71*0.789832938</f>
        <v>0</v>
      </c>
      <c r="AP71" s="50">
        <f>G71*(1-0.789832938)</f>
        <v>0</v>
      </c>
      <c r="AQ71" s="52" t="s">
        <v>114</v>
      </c>
      <c r="AV71" s="50">
        <f>ROUND(AW71+AX71,2)</f>
        <v>0</v>
      </c>
      <c r="AW71" s="50">
        <f>ROUND(F71*AO71,2)</f>
        <v>0</v>
      </c>
      <c r="AX71" s="50">
        <f>ROUND(F71*AP71,2)</f>
        <v>0</v>
      </c>
      <c r="AY71" s="52" t="s">
        <v>226</v>
      </c>
      <c r="AZ71" s="52" t="s">
        <v>227</v>
      </c>
      <c r="BA71" s="32" t="s">
        <v>121</v>
      </c>
      <c r="BC71" s="50">
        <f>AW71+AX71</f>
        <v>0</v>
      </c>
      <c r="BD71" s="50">
        <f>G71/(100-BE71)*100</f>
        <v>0</v>
      </c>
      <c r="BE71" s="50">
        <v>0</v>
      </c>
      <c r="BF71" s="50">
        <f>71</f>
        <v>71</v>
      </c>
      <c r="BH71" s="50">
        <f>F71*AO71</f>
        <v>0</v>
      </c>
      <c r="BI71" s="50">
        <f>F71*AP71</f>
        <v>0</v>
      </c>
      <c r="BJ71" s="50">
        <f>F71*G71</f>
        <v>0</v>
      </c>
      <c r="BK71" s="52" t="s">
        <v>122</v>
      </c>
      <c r="BL71" s="50">
        <v>31</v>
      </c>
      <c r="BW71" s="50">
        <v>21</v>
      </c>
      <c r="BX71" s="3" t="s">
        <v>225</v>
      </c>
    </row>
    <row r="72" spans="1:76" ht="14.4" x14ac:dyDescent="0.3">
      <c r="A72" s="53"/>
      <c r="C72" s="54" t="s">
        <v>228</v>
      </c>
      <c r="D72" s="54" t="s">
        <v>4</v>
      </c>
      <c r="F72" s="55">
        <v>61.65</v>
      </c>
      <c r="K72" s="56"/>
    </row>
    <row r="73" spans="1:76" ht="14.4" x14ac:dyDescent="0.3">
      <c r="A73" s="53"/>
      <c r="C73" s="54" t="s">
        <v>229</v>
      </c>
      <c r="D73" s="54" t="s">
        <v>4</v>
      </c>
      <c r="F73" s="55">
        <v>-5.59</v>
      </c>
      <c r="K73" s="56"/>
    </row>
    <row r="74" spans="1:76" ht="14.4" x14ac:dyDescent="0.3">
      <c r="A74" s="53"/>
      <c r="C74" s="54" t="s">
        <v>230</v>
      </c>
      <c r="D74" s="54" t="s">
        <v>4</v>
      </c>
      <c r="F74" s="55">
        <v>-2.15</v>
      </c>
      <c r="K74" s="56"/>
    </row>
    <row r="75" spans="1:76" ht="14.4" x14ac:dyDescent="0.3">
      <c r="A75" s="53"/>
      <c r="C75" s="54" t="s">
        <v>231</v>
      </c>
      <c r="D75" s="54" t="s">
        <v>4</v>
      </c>
      <c r="F75" s="55">
        <v>-0.9375</v>
      </c>
      <c r="K75" s="56"/>
    </row>
    <row r="76" spans="1:76" ht="14.4" x14ac:dyDescent="0.3">
      <c r="A76" s="53"/>
      <c r="C76" s="54" t="s">
        <v>232</v>
      </c>
      <c r="D76" s="54" t="s">
        <v>4</v>
      </c>
      <c r="F76" s="55">
        <v>23.52</v>
      </c>
      <c r="K76" s="56"/>
    </row>
    <row r="77" spans="1:76" ht="14.4" x14ac:dyDescent="0.3">
      <c r="A77" s="53"/>
      <c r="C77" s="54" t="s">
        <v>233</v>
      </c>
      <c r="D77" s="54" t="s">
        <v>4</v>
      </c>
      <c r="F77" s="55">
        <v>1.89</v>
      </c>
      <c r="K77" s="56"/>
    </row>
    <row r="78" spans="1:76" ht="14.4" x14ac:dyDescent="0.3">
      <c r="A78" s="1" t="s">
        <v>234</v>
      </c>
      <c r="B78" s="2" t="s">
        <v>235</v>
      </c>
      <c r="C78" s="75" t="s">
        <v>236</v>
      </c>
      <c r="D78" s="70"/>
      <c r="E78" s="2" t="s">
        <v>177</v>
      </c>
      <c r="F78" s="50">
        <v>7</v>
      </c>
      <c r="G78" s="50">
        <v>0</v>
      </c>
      <c r="H78" s="50">
        <f>ROUND(F78*AO78,2)</f>
        <v>0</v>
      </c>
      <c r="I78" s="50">
        <f>ROUND(F78*AP78,2)</f>
        <v>0</v>
      </c>
      <c r="J78" s="50">
        <f>ROUND(F78*G78,2)</f>
        <v>0</v>
      </c>
      <c r="K78" s="51" t="s">
        <v>118</v>
      </c>
      <c r="Z78" s="50">
        <f>ROUND(IF(AQ78="5",BJ78,0),2)</f>
        <v>0</v>
      </c>
      <c r="AB78" s="50">
        <f>ROUND(IF(AQ78="1",BH78,0),2)</f>
        <v>0</v>
      </c>
      <c r="AC78" s="50">
        <f>ROUND(IF(AQ78="1",BI78,0),2)</f>
        <v>0</v>
      </c>
      <c r="AD78" s="50">
        <f>ROUND(IF(AQ78="7",BH78,0),2)</f>
        <v>0</v>
      </c>
      <c r="AE78" s="50">
        <f>ROUND(IF(AQ78="7",BI78,0),2)</f>
        <v>0</v>
      </c>
      <c r="AF78" s="50">
        <f>ROUND(IF(AQ78="2",BH78,0),2)</f>
        <v>0</v>
      </c>
      <c r="AG78" s="50">
        <f>ROUND(IF(AQ78="2",BI78,0),2)</f>
        <v>0</v>
      </c>
      <c r="AH78" s="50">
        <f>ROUND(IF(AQ78="0",BJ78,0),2)</f>
        <v>0</v>
      </c>
      <c r="AI78" s="32" t="s">
        <v>4</v>
      </c>
      <c r="AJ78" s="50">
        <f>IF(AN78=0,J78,0)</f>
        <v>0</v>
      </c>
      <c r="AK78" s="50">
        <f>IF(AN78=12,J78,0)</f>
        <v>0</v>
      </c>
      <c r="AL78" s="50">
        <f>IF(AN78=21,J78,0)</f>
        <v>0</v>
      </c>
      <c r="AN78" s="50">
        <v>21</v>
      </c>
      <c r="AO78" s="50">
        <f>G78*0.66699873</f>
        <v>0</v>
      </c>
      <c r="AP78" s="50">
        <f>G78*(1-0.66699873)</f>
        <v>0</v>
      </c>
      <c r="AQ78" s="52" t="s">
        <v>114</v>
      </c>
      <c r="AV78" s="50">
        <f>ROUND(AW78+AX78,2)</f>
        <v>0</v>
      </c>
      <c r="AW78" s="50">
        <f>ROUND(F78*AO78,2)</f>
        <v>0</v>
      </c>
      <c r="AX78" s="50">
        <f>ROUND(F78*AP78,2)</f>
        <v>0</v>
      </c>
      <c r="AY78" s="52" t="s">
        <v>226</v>
      </c>
      <c r="AZ78" s="52" t="s">
        <v>227</v>
      </c>
      <c r="BA78" s="32" t="s">
        <v>121</v>
      </c>
      <c r="BC78" s="50">
        <f>AW78+AX78</f>
        <v>0</v>
      </c>
      <c r="BD78" s="50">
        <f>G78/(100-BE78)*100</f>
        <v>0</v>
      </c>
      <c r="BE78" s="50">
        <v>0</v>
      </c>
      <c r="BF78" s="50">
        <f>78</f>
        <v>78</v>
      </c>
      <c r="BH78" s="50">
        <f>F78*AO78</f>
        <v>0</v>
      </c>
      <c r="BI78" s="50">
        <f>F78*AP78</f>
        <v>0</v>
      </c>
      <c r="BJ78" s="50">
        <f>F78*G78</f>
        <v>0</v>
      </c>
      <c r="BK78" s="52" t="s">
        <v>122</v>
      </c>
      <c r="BL78" s="50">
        <v>31</v>
      </c>
      <c r="BW78" s="50">
        <v>21</v>
      </c>
      <c r="BX78" s="3" t="s">
        <v>236</v>
      </c>
    </row>
    <row r="79" spans="1:76" ht="13.5" customHeight="1" x14ac:dyDescent="0.3">
      <c r="A79" s="53"/>
      <c r="B79" s="57" t="s">
        <v>157</v>
      </c>
      <c r="C79" s="150" t="s">
        <v>237</v>
      </c>
      <c r="D79" s="151"/>
      <c r="E79" s="151"/>
      <c r="F79" s="151"/>
      <c r="G79" s="151"/>
      <c r="H79" s="151"/>
      <c r="I79" s="151"/>
      <c r="J79" s="151"/>
      <c r="K79" s="152"/>
    </row>
    <row r="80" spans="1:76" ht="14.4" x14ac:dyDescent="0.3">
      <c r="A80" s="53"/>
      <c r="C80" s="54" t="s">
        <v>238</v>
      </c>
      <c r="D80" s="54" t="s">
        <v>4</v>
      </c>
      <c r="F80" s="55">
        <v>7</v>
      </c>
      <c r="K80" s="56"/>
    </row>
    <row r="81" spans="1:76" ht="14.4" x14ac:dyDescent="0.3">
      <c r="A81" s="1" t="s">
        <v>239</v>
      </c>
      <c r="B81" s="2" t="s">
        <v>240</v>
      </c>
      <c r="C81" s="75" t="s">
        <v>241</v>
      </c>
      <c r="D81" s="70"/>
      <c r="E81" s="2" t="s">
        <v>242</v>
      </c>
      <c r="F81" s="50">
        <v>4</v>
      </c>
      <c r="G81" s="50">
        <v>0</v>
      </c>
      <c r="H81" s="50">
        <f>ROUND(F81*AO81,2)</f>
        <v>0</v>
      </c>
      <c r="I81" s="50">
        <f>ROUND(F81*AP81,2)</f>
        <v>0</v>
      </c>
      <c r="J81" s="50">
        <f>ROUND(F81*G81,2)</f>
        <v>0</v>
      </c>
      <c r="K81" s="51" t="s">
        <v>118</v>
      </c>
      <c r="Z81" s="50">
        <f>ROUND(IF(AQ81="5",BJ81,0),2)</f>
        <v>0</v>
      </c>
      <c r="AB81" s="50">
        <f>ROUND(IF(AQ81="1",BH81,0),2)</f>
        <v>0</v>
      </c>
      <c r="AC81" s="50">
        <f>ROUND(IF(AQ81="1",BI81,0),2)</f>
        <v>0</v>
      </c>
      <c r="AD81" s="50">
        <f>ROUND(IF(AQ81="7",BH81,0),2)</f>
        <v>0</v>
      </c>
      <c r="AE81" s="50">
        <f>ROUND(IF(AQ81="7",BI81,0),2)</f>
        <v>0</v>
      </c>
      <c r="AF81" s="50">
        <f>ROUND(IF(AQ81="2",BH81,0),2)</f>
        <v>0</v>
      </c>
      <c r="AG81" s="50">
        <f>ROUND(IF(AQ81="2",BI81,0),2)</f>
        <v>0</v>
      </c>
      <c r="AH81" s="50">
        <f>ROUND(IF(AQ81="0",BJ81,0),2)</f>
        <v>0</v>
      </c>
      <c r="AI81" s="32" t="s">
        <v>4</v>
      </c>
      <c r="AJ81" s="50">
        <f>IF(AN81=0,J81,0)</f>
        <v>0</v>
      </c>
      <c r="AK81" s="50">
        <f>IF(AN81=12,J81,0)</f>
        <v>0</v>
      </c>
      <c r="AL81" s="50">
        <f>IF(AN81=21,J81,0)</f>
        <v>0</v>
      </c>
      <c r="AN81" s="50">
        <v>21</v>
      </c>
      <c r="AO81" s="50">
        <f>G81*0.677519824</f>
        <v>0</v>
      </c>
      <c r="AP81" s="50">
        <f>G81*(1-0.677519824)</f>
        <v>0</v>
      </c>
      <c r="AQ81" s="52" t="s">
        <v>114</v>
      </c>
      <c r="AV81" s="50">
        <f>ROUND(AW81+AX81,2)</f>
        <v>0</v>
      </c>
      <c r="AW81" s="50">
        <f>ROUND(F81*AO81,2)</f>
        <v>0</v>
      </c>
      <c r="AX81" s="50">
        <f>ROUND(F81*AP81,2)</f>
        <v>0</v>
      </c>
      <c r="AY81" s="52" t="s">
        <v>226</v>
      </c>
      <c r="AZ81" s="52" t="s">
        <v>227</v>
      </c>
      <c r="BA81" s="32" t="s">
        <v>121</v>
      </c>
      <c r="BC81" s="50">
        <f>AW81+AX81</f>
        <v>0</v>
      </c>
      <c r="BD81" s="50">
        <f>G81/(100-BE81)*100</f>
        <v>0</v>
      </c>
      <c r="BE81" s="50">
        <v>0</v>
      </c>
      <c r="BF81" s="50">
        <f>81</f>
        <v>81</v>
      </c>
      <c r="BH81" s="50">
        <f>F81*AO81</f>
        <v>0</v>
      </c>
      <c r="BI81" s="50">
        <f>F81*AP81</f>
        <v>0</v>
      </c>
      <c r="BJ81" s="50">
        <f>F81*G81</f>
        <v>0</v>
      </c>
      <c r="BK81" s="52" t="s">
        <v>122</v>
      </c>
      <c r="BL81" s="50">
        <v>31</v>
      </c>
      <c r="BW81" s="50">
        <v>21</v>
      </c>
      <c r="BX81" s="3" t="s">
        <v>241</v>
      </c>
    </row>
    <row r="82" spans="1:76" ht="14.4" x14ac:dyDescent="0.3">
      <c r="A82" s="53"/>
      <c r="C82" s="54" t="s">
        <v>134</v>
      </c>
      <c r="D82" s="54" t="s">
        <v>4</v>
      </c>
      <c r="F82" s="55">
        <v>4</v>
      </c>
      <c r="K82" s="56"/>
    </row>
    <row r="83" spans="1:76" ht="14.4" x14ac:dyDescent="0.3">
      <c r="A83" s="1" t="s">
        <v>243</v>
      </c>
      <c r="B83" s="2" t="s">
        <v>244</v>
      </c>
      <c r="C83" s="75" t="s">
        <v>245</v>
      </c>
      <c r="D83" s="70"/>
      <c r="E83" s="2" t="s">
        <v>242</v>
      </c>
      <c r="F83" s="50">
        <v>4</v>
      </c>
      <c r="G83" s="50">
        <v>0</v>
      </c>
      <c r="H83" s="50">
        <f>ROUND(F83*AO83,2)</f>
        <v>0</v>
      </c>
      <c r="I83" s="50">
        <f>ROUND(F83*AP83,2)</f>
        <v>0</v>
      </c>
      <c r="J83" s="50">
        <f>ROUND(F83*G83,2)</f>
        <v>0</v>
      </c>
      <c r="K83" s="51" t="s">
        <v>118</v>
      </c>
      <c r="Z83" s="50">
        <f>ROUND(IF(AQ83="5",BJ83,0),2)</f>
        <v>0</v>
      </c>
      <c r="AB83" s="50">
        <f>ROUND(IF(AQ83="1",BH83,0),2)</f>
        <v>0</v>
      </c>
      <c r="AC83" s="50">
        <f>ROUND(IF(AQ83="1",BI83,0),2)</f>
        <v>0</v>
      </c>
      <c r="AD83" s="50">
        <f>ROUND(IF(AQ83="7",BH83,0),2)</f>
        <v>0</v>
      </c>
      <c r="AE83" s="50">
        <f>ROUND(IF(AQ83="7",BI83,0),2)</f>
        <v>0</v>
      </c>
      <c r="AF83" s="50">
        <f>ROUND(IF(AQ83="2",BH83,0),2)</f>
        <v>0</v>
      </c>
      <c r="AG83" s="50">
        <f>ROUND(IF(AQ83="2",BI83,0),2)</f>
        <v>0</v>
      </c>
      <c r="AH83" s="50">
        <f>ROUND(IF(AQ83="0",BJ83,0),2)</f>
        <v>0</v>
      </c>
      <c r="AI83" s="32" t="s">
        <v>4</v>
      </c>
      <c r="AJ83" s="50">
        <f>IF(AN83=0,J83,0)</f>
        <v>0</v>
      </c>
      <c r="AK83" s="50">
        <f>IF(AN83=12,J83,0)</f>
        <v>0</v>
      </c>
      <c r="AL83" s="50">
        <f>IF(AN83=21,J83,0)</f>
        <v>0</v>
      </c>
      <c r="AN83" s="50">
        <v>21</v>
      </c>
      <c r="AO83" s="50">
        <f>G83*0.815312163</f>
        <v>0</v>
      </c>
      <c r="AP83" s="50">
        <f>G83*(1-0.815312163)</f>
        <v>0</v>
      </c>
      <c r="AQ83" s="52" t="s">
        <v>114</v>
      </c>
      <c r="AV83" s="50">
        <f>ROUND(AW83+AX83,2)</f>
        <v>0</v>
      </c>
      <c r="AW83" s="50">
        <f>ROUND(F83*AO83,2)</f>
        <v>0</v>
      </c>
      <c r="AX83" s="50">
        <f>ROUND(F83*AP83,2)</f>
        <v>0</v>
      </c>
      <c r="AY83" s="52" t="s">
        <v>226</v>
      </c>
      <c r="AZ83" s="52" t="s">
        <v>227</v>
      </c>
      <c r="BA83" s="32" t="s">
        <v>121</v>
      </c>
      <c r="BC83" s="50">
        <f>AW83+AX83</f>
        <v>0</v>
      </c>
      <c r="BD83" s="50">
        <f>G83/(100-BE83)*100</f>
        <v>0</v>
      </c>
      <c r="BE83" s="50">
        <v>0</v>
      </c>
      <c r="BF83" s="50">
        <f>83</f>
        <v>83</v>
      </c>
      <c r="BH83" s="50">
        <f>F83*AO83</f>
        <v>0</v>
      </c>
      <c r="BI83" s="50">
        <f>F83*AP83</f>
        <v>0</v>
      </c>
      <c r="BJ83" s="50">
        <f>F83*G83</f>
        <v>0</v>
      </c>
      <c r="BK83" s="52" t="s">
        <v>122</v>
      </c>
      <c r="BL83" s="50">
        <v>31</v>
      </c>
      <c r="BW83" s="50">
        <v>21</v>
      </c>
      <c r="BX83" s="3" t="s">
        <v>245</v>
      </c>
    </row>
    <row r="84" spans="1:76" ht="14.4" x14ac:dyDescent="0.3">
      <c r="A84" s="53"/>
      <c r="C84" s="54" t="s">
        <v>134</v>
      </c>
      <c r="D84" s="54" t="s">
        <v>4</v>
      </c>
      <c r="F84" s="55">
        <v>4</v>
      </c>
      <c r="K84" s="56"/>
    </row>
    <row r="85" spans="1:76" ht="14.4" x14ac:dyDescent="0.3">
      <c r="A85" s="1" t="s">
        <v>246</v>
      </c>
      <c r="B85" s="2" t="s">
        <v>247</v>
      </c>
      <c r="C85" s="75" t="s">
        <v>248</v>
      </c>
      <c r="D85" s="70"/>
      <c r="E85" s="2" t="s">
        <v>219</v>
      </c>
      <c r="F85" s="50">
        <v>0.16244</v>
      </c>
      <c r="G85" s="50">
        <v>0</v>
      </c>
      <c r="H85" s="50">
        <f>ROUND(F85*AO85,2)</f>
        <v>0</v>
      </c>
      <c r="I85" s="50">
        <f>ROUND(F85*AP85,2)</f>
        <v>0</v>
      </c>
      <c r="J85" s="50">
        <f>ROUND(F85*G85,2)</f>
        <v>0</v>
      </c>
      <c r="K85" s="51" t="s">
        <v>118</v>
      </c>
      <c r="Z85" s="50">
        <f>ROUND(IF(AQ85="5",BJ85,0),2)</f>
        <v>0</v>
      </c>
      <c r="AB85" s="50">
        <f>ROUND(IF(AQ85="1",BH85,0),2)</f>
        <v>0</v>
      </c>
      <c r="AC85" s="50">
        <f>ROUND(IF(AQ85="1",BI85,0),2)</f>
        <v>0</v>
      </c>
      <c r="AD85" s="50">
        <f>ROUND(IF(AQ85="7",BH85,0),2)</f>
        <v>0</v>
      </c>
      <c r="AE85" s="50">
        <f>ROUND(IF(AQ85="7",BI85,0),2)</f>
        <v>0</v>
      </c>
      <c r="AF85" s="50">
        <f>ROUND(IF(AQ85="2",BH85,0),2)</f>
        <v>0</v>
      </c>
      <c r="AG85" s="50">
        <f>ROUND(IF(AQ85="2",BI85,0),2)</f>
        <v>0</v>
      </c>
      <c r="AH85" s="50">
        <f>ROUND(IF(AQ85="0",BJ85,0),2)</f>
        <v>0</v>
      </c>
      <c r="AI85" s="32" t="s">
        <v>4</v>
      </c>
      <c r="AJ85" s="50">
        <f>IF(AN85=0,J85,0)</f>
        <v>0</v>
      </c>
      <c r="AK85" s="50">
        <f>IF(AN85=12,J85,0)</f>
        <v>0</v>
      </c>
      <c r="AL85" s="50">
        <f>IF(AN85=21,J85,0)</f>
        <v>0</v>
      </c>
      <c r="AN85" s="50">
        <v>21</v>
      </c>
      <c r="AO85" s="50">
        <f>G85*0.001626501</f>
        <v>0</v>
      </c>
      <c r="AP85" s="50">
        <f>G85*(1-0.001626501)</f>
        <v>0</v>
      </c>
      <c r="AQ85" s="52" t="s">
        <v>114</v>
      </c>
      <c r="AV85" s="50">
        <f>ROUND(AW85+AX85,2)</f>
        <v>0</v>
      </c>
      <c r="AW85" s="50">
        <f>ROUND(F85*AO85,2)</f>
        <v>0</v>
      </c>
      <c r="AX85" s="50">
        <f>ROUND(F85*AP85,2)</f>
        <v>0</v>
      </c>
      <c r="AY85" s="52" t="s">
        <v>226</v>
      </c>
      <c r="AZ85" s="52" t="s">
        <v>227</v>
      </c>
      <c r="BA85" s="32" t="s">
        <v>121</v>
      </c>
      <c r="BC85" s="50">
        <f>AW85+AX85</f>
        <v>0</v>
      </c>
      <c r="BD85" s="50">
        <f>G85/(100-BE85)*100</f>
        <v>0</v>
      </c>
      <c r="BE85" s="50">
        <v>0</v>
      </c>
      <c r="BF85" s="50">
        <f>85</f>
        <v>85</v>
      </c>
      <c r="BH85" s="50">
        <f>F85*AO85</f>
        <v>0</v>
      </c>
      <c r="BI85" s="50">
        <f>F85*AP85</f>
        <v>0</v>
      </c>
      <c r="BJ85" s="50">
        <f>F85*G85</f>
        <v>0</v>
      </c>
      <c r="BK85" s="52" t="s">
        <v>122</v>
      </c>
      <c r="BL85" s="50">
        <v>31</v>
      </c>
      <c r="BW85" s="50">
        <v>21</v>
      </c>
      <c r="BX85" s="3" t="s">
        <v>248</v>
      </c>
    </row>
    <row r="86" spans="1:76" ht="14.4" x14ac:dyDescent="0.3">
      <c r="A86" s="53"/>
      <c r="C86" s="54" t="s">
        <v>249</v>
      </c>
      <c r="D86" s="54" t="s">
        <v>4</v>
      </c>
      <c r="F86" s="55">
        <v>0.16244</v>
      </c>
      <c r="K86" s="56"/>
    </row>
    <row r="87" spans="1:76" ht="14.4" x14ac:dyDescent="0.3">
      <c r="A87" s="1" t="s">
        <v>250</v>
      </c>
      <c r="B87" s="2" t="s">
        <v>251</v>
      </c>
      <c r="C87" s="75" t="s">
        <v>252</v>
      </c>
      <c r="D87" s="70"/>
      <c r="E87" s="2" t="s">
        <v>219</v>
      </c>
      <c r="F87" s="50">
        <v>0.17544000000000001</v>
      </c>
      <c r="G87" s="50">
        <v>0</v>
      </c>
      <c r="H87" s="50">
        <f>ROUND(F87*AO87,2)</f>
        <v>0</v>
      </c>
      <c r="I87" s="50">
        <f>ROUND(F87*AP87,2)</f>
        <v>0</v>
      </c>
      <c r="J87" s="50">
        <f>ROUND(F87*G87,2)</f>
        <v>0</v>
      </c>
      <c r="K87" s="51" t="s">
        <v>253</v>
      </c>
      <c r="Z87" s="50">
        <f>ROUND(IF(AQ87="5",BJ87,0),2)</f>
        <v>0</v>
      </c>
      <c r="AB87" s="50">
        <f>ROUND(IF(AQ87="1",BH87,0),2)</f>
        <v>0</v>
      </c>
      <c r="AC87" s="50">
        <f>ROUND(IF(AQ87="1",BI87,0),2)</f>
        <v>0</v>
      </c>
      <c r="AD87" s="50">
        <f>ROUND(IF(AQ87="7",BH87,0),2)</f>
        <v>0</v>
      </c>
      <c r="AE87" s="50">
        <f>ROUND(IF(AQ87="7",BI87,0),2)</f>
        <v>0</v>
      </c>
      <c r="AF87" s="50">
        <f>ROUND(IF(AQ87="2",BH87,0),2)</f>
        <v>0</v>
      </c>
      <c r="AG87" s="50">
        <f>ROUND(IF(AQ87="2",BI87,0),2)</f>
        <v>0</v>
      </c>
      <c r="AH87" s="50">
        <f>ROUND(IF(AQ87="0",BJ87,0),2)</f>
        <v>0</v>
      </c>
      <c r="AI87" s="32" t="s">
        <v>4</v>
      </c>
      <c r="AJ87" s="50">
        <f>IF(AN87=0,J87,0)</f>
        <v>0</v>
      </c>
      <c r="AK87" s="50">
        <f>IF(AN87=12,J87,0)</f>
        <v>0</v>
      </c>
      <c r="AL87" s="50">
        <f>IF(AN87=21,J87,0)</f>
        <v>0</v>
      </c>
      <c r="AN87" s="50">
        <v>21</v>
      </c>
      <c r="AO87" s="50">
        <f>G87*1</f>
        <v>0</v>
      </c>
      <c r="AP87" s="50">
        <f>G87*(1-1)</f>
        <v>0</v>
      </c>
      <c r="AQ87" s="52" t="s">
        <v>114</v>
      </c>
      <c r="AV87" s="50">
        <f>ROUND(AW87+AX87,2)</f>
        <v>0</v>
      </c>
      <c r="AW87" s="50">
        <f>ROUND(F87*AO87,2)</f>
        <v>0</v>
      </c>
      <c r="AX87" s="50">
        <f>ROUND(F87*AP87,2)</f>
        <v>0</v>
      </c>
      <c r="AY87" s="52" t="s">
        <v>226</v>
      </c>
      <c r="AZ87" s="52" t="s">
        <v>227</v>
      </c>
      <c r="BA87" s="32" t="s">
        <v>121</v>
      </c>
      <c r="BC87" s="50">
        <f>AW87+AX87</f>
        <v>0</v>
      </c>
      <c r="BD87" s="50">
        <f>G87/(100-BE87)*100</f>
        <v>0</v>
      </c>
      <c r="BE87" s="50">
        <v>0</v>
      </c>
      <c r="BF87" s="50">
        <f>87</f>
        <v>87</v>
      </c>
      <c r="BH87" s="50">
        <f>F87*AO87</f>
        <v>0</v>
      </c>
      <c r="BI87" s="50">
        <f>F87*AP87</f>
        <v>0</v>
      </c>
      <c r="BJ87" s="50">
        <f>F87*G87</f>
        <v>0</v>
      </c>
      <c r="BK87" s="52" t="s">
        <v>183</v>
      </c>
      <c r="BL87" s="50">
        <v>31</v>
      </c>
      <c r="BW87" s="50">
        <v>21</v>
      </c>
      <c r="BX87" s="3" t="s">
        <v>252</v>
      </c>
    </row>
    <row r="88" spans="1:76" ht="14.4" x14ac:dyDescent="0.3">
      <c r="A88" s="53"/>
      <c r="C88" s="54" t="s">
        <v>249</v>
      </c>
      <c r="D88" s="54" t="s">
        <v>4</v>
      </c>
      <c r="F88" s="55">
        <v>0.16244</v>
      </c>
      <c r="K88" s="56"/>
    </row>
    <row r="89" spans="1:76" ht="14.4" x14ac:dyDescent="0.3">
      <c r="A89" s="53"/>
      <c r="C89" s="54" t="s">
        <v>254</v>
      </c>
      <c r="D89" s="54" t="s">
        <v>4</v>
      </c>
      <c r="F89" s="55">
        <v>1.2999999999999999E-2</v>
      </c>
      <c r="K89" s="56"/>
    </row>
    <row r="90" spans="1:76" ht="14.4" x14ac:dyDescent="0.3">
      <c r="A90" s="1" t="s">
        <v>185</v>
      </c>
      <c r="B90" s="2" t="s">
        <v>255</v>
      </c>
      <c r="C90" s="75" t="s">
        <v>256</v>
      </c>
      <c r="D90" s="70"/>
      <c r="E90" s="2" t="s">
        <v>257</v>
      </c>
      <c r="F90" s="50">
        <v>3.1</v>
      </c>
      <c r="G90" s="50">
        <v>0</v>
      </c>
      <c r="H90" s="50">
        <f>ROUND(F90*AO90,2)</f>
        <v>0</v>
      </c>
      <c r="I90" s="50">
        <f>ROUND(F90*AP90,2)</f>
        <v>0</v>
      </c>
      <c r="J90" s="50">
        <f>ROUND(F90*G90,2)</f>
        <v>0</v>
      </c>
      <c r="K90" s="51" t="s">
        <v>253</v>
      </c>
      <c r="Z90" s="50">
        <f>ROUND(IF(AQ90="5",BJ90,0),2)</f>
        <v>0</v>
      </c>
      <c r="AB90" s="50">
        <f>ROUND(IF(AQ90="1",BH90,0),2)</f>
        <v>0</v>
      </c>
      <c r="AC90" s="50">
        <f>ROUND(IF(AQ90="1",BI90,0),2)</f>
        <v>0</v>
      </c>
      <c r="AD90" s="50">
        <f>ROUND(IF(AQ90="7",BH90,0),2)</f>
        <v>0</v>
      </c>
      <c r="AE90" s="50">
        <f>ROUND(IF(AQ90="7",BI90,0),2)</f>
        <v>0</v>
      </c>
      <c r="AF90" s="50">
        <f>ROUND(IF(AQ90="2",BH90,0),2)</f>
        <v>0</v>
      </c>
      <c r="AG90" s="50">
        <f>ROUND(IF(AQ90="2",BI90,0),2)</f>
        <v>0</v>
      </c>
      <c r="AH90" s="50">
        <f>ROUND(IF(AQ90="0",BJ90,0),2)</f>
        <v>0</v>
      </c>
      <c r="AI90" s="32" t="s">
        <v>4</v>
      </c>
      <c r="AJ90" s="50">
        <f>IF(AN90=0,J90,0)</f>
        <v>0</v>
      </c>
      <c r="AK90" s="50">
        <f>IF(AN90=12,J90,0)</f>
        <v>0</v>
      </c>
      <c r="AL90" s="50">
        <f>IF(AN90=21,J90,0)</f>
        <v>0</v>
      </c>
      <c r="AN90" s="50">
        <v>21</v>
      </c>
      <c r="AO90" s="50">
        <f>G90*0.262517394</f>
        <v>0</v>
      </c>
      <c r="AP90" s="50">
        <f>G90*(1-0.262517394)</f>
        <v>0</v>
      </c>
      <c r="AQ90" s="52" t="s">
        <v>114</v>
      </c>
      <c r="AV90" s="50">
        <f>ROUND(AW90+AX90,2)</f>
        <v>0</v>
      </c>
      <c r="AW90" s="50">
        <f>ROUND(F90*AO90,2)</f>
        <v>0</v>
      </c>
      <c r="AX90" s="50">
        <f>ROUND(F90*AP90,2)</f>
        <v>0</v>
      </c>
      <c r="AY90" s="52" t="s">
        <v>226</v>
      </c>
      <c r="AZ90" s="52" t="s">
        <v>227</v>
      </c>
      <c r="BA90" s="32" t="s">
        <v>121</v>
      </c>
      <c r="BC90" s="50">
        <f>AW90+AX90</f>
        <v>0</v>
      </c>
      <c r="BD90" s="50">
        <f>G90/(100-BE90)*100</f>
        <v>0</v>
      </c>
      <c r="BE90" s="50">
        <v>0</v>
      </c>
      <c r="BF90" s="50">
        <f>90</f>
        <v>90</v>
      </c>
      <c r="BH90" s="50">
        <f>F90*AO90</f>
        <v>0</v>
      </c>
      <c r="BI90" s="50">
        <f>F90*AP90</f>
        <v>0</v>
      </c>
      <c r="BJ90" s="50">
        <f>F90*G90</f>
        <v>0</v>
      </c>
      <c r="BK90" s="52" t="s">
        <v>122</v>
      </c>
      <c r="BL90" s="50">
        <v>31</v>
      </c>
      <c r="BW90" s="50">
        <v>21</v>
      </c>
      <c r="BX90" s="3" t="s">
        <v>256</v>
      </c>
    </row>
    <row r="91" spans="1:76" ht="14.4" x14ac:dyDescent="0.3">
      <c r="A91" s="53"/>
      <c r="C91" s="54" t="s">
        <v>258</v>
      </c>
      <c r="D91" s="54" t="s">
        <v>4</v>
      </c>
      <c r="F91" s="55">
        <v>3.1</v>
      </c>
      <c r="K91" s="56"/>
    </row>
    <row r="92" spans="1:76" ht="14.4" x14ac:dyDescent="0.3">
      <c r="A92" s="46" t="s">
        <v>4</v>
      </c>
      <c r="B92" s="47" t="s">
        <v>259</v>
      </c>
      <c r="C92" s="148" t="s">
        <v>260</v>
      </c>
      <c r="D92" s="149"/>
      <c r="E92" s="48" t="s">
        <v>79</v>
      </c>
      <c r="F92" s="48" t="s">
        <v>79</v>
      </c>
      <c r="G92" s="48" t="s">
        <v>79</v>
      </c>
      <c r="H92" s="26">
        <f>ROUND(SUM(H93:H96),2)</f>
        <v>0</v>
      </c>
      <c r="I92" s="26">
        <f>ROUND(SUM(I93:I96),2)</f>
        <v>0</v>
      </c>
      <c r="J92" s="26">
        <f>ROUND(SUM(J93:J96),2)</f>
        <v>0</v>
      </c>
      <c r="K92" s="49" t="s">
        <v>4</v>
      </c>
      <c r="AI92" s="32" t="s">
        <v>4</v>
      </c>
      <c r="AS92" s="26">
        <f>SUM(AJ93:AJ96)</f>
        <v>0</v>
      </c>
      <c r="AT92" s="26">
        <f>SUM(AK93:AK96)</f>
        <v>0</v>
      </c>
      <c r="AU92" s="26">
        <f>SUM(AL93:AL96)</f>
        <v>0</v>
      </c>
    </row>
    <row r="93" spans="1:76" ht="14.4" x14ac:dyDescent="0.3">
      <c r="A93" s="1" t="s">
        <v>261</v>
      </c>
      <c r="B93" s="2" t="s">
        <v>262</v>
      </c>
      <c r="C93" s="75" t="s">
        <v>263</v>
      </c>
      <c r="D93" s="70"/>
      <c r="E93" s="2" t="s">
        <v>177</v>
      </c>
      <c r="F93" s="50">
        <v>56.8</v>
      </c>
      <c r="G93" s="50">
        <v>0</v>
      </c>
      <c r="H93" s="50">
        <f>ROUND(F93*AO93,2)</f>
        <v>0</v>
      </c>
      <c r="I93" s="50">
        <f>ROUND(F93*AP93,2)</f>
        <v>0</v>
      </c>
      <c r="J93" s="50">
        <f>ROUND(F93*G93,2)</f>
        <v>0</v>
      </c>
      <c r="K93" s="51" t="s">
        <v>118</v>
      </c>
      <c r="Z93" s="50">
        <f>ROUND(IF(AQ93="5",BJ93,0),2)</f>
        <v>0</v>
      </c>
      <c r="AB93" s="50">
        <f>ROUND(IF(AQ93="1",BH93,0),2)</f>
        <v>0</v>
      </c>
      <c r="AC93" s="50">
        <f>ROUND(IF(AQ93="1",BI93,0),2)</f>
        <v>0</v>
      </c>
      <c r="AD93" s="50">
        <f>ROUND(IF(AQ93="7",BH93,0),2)</f>
        <v>0</v>
      </c>
      <c r="AE93" s="50">
        <f>ROUND(IF(AQ93="7",BI93,0),2)</f>
        <v>0</v>
      </c>
      <c r="AF93" s="50">
        <f>ROUND(IF(AQ93="2",BH93,0),2)</f>
        <v>0</v>
      </c>
      <c r="AG93" s="50">
        <f>ROUND(IF(AQ93="2",BI93,0),2)</f>
        <v>0</v>
      </c>
      <c r="AH93" s="50">
        <f>ROUND(IF(AQ93="0",BJ93,0),2)</f>
        <v>0</v>
      </c>
      <c r="AI93" s="32" t="s">
        <v>4</v>
      </c>
      <c r="AJ93" s="50">
        <f>IF(AN93=0,J93,0)</f>
        <v>0</v>
      </c>
      <c r="AK93" s="50">
        <f>IF(AN93=12,J93,0)</f>
        <v>0</v>
      </c>
      <c r="AL93" s="50">
        <f>IF(AN93=21,J93,0)</f>
        <v>0</v>
      </c>
      <c r="AN93" s="50">
        <v>21</v>
      </c>
      <c r="AO93" s="50">
        <f>G93*0.375943944</f>
        <v>0</v>
      </c>
      <c r="AP93" s="50">
        <f>G93*(1-0.375943944)</f>
        <v>0</v>
      </c>
      <c r="AQ93" s="52" t="s">
        <v>114</v>
      </c>
      <c r="AV93" s="50">
        <f>ROUND(AW93+AX93,2)</f>
        <v>0</v>
      </c>
      <c r="AW93" s="50">
        <f>ROUND(F93*AO93,2)</f>
        <v>0</v>
      </c>
      <c r="AX93" s="50">
        <f>ROUND(F93*AP93,2)</f>
        <v>0</v>
      </c>
      <c r="AY93" s="52" t="s">
        <v>264</v>
      </c>
      <c r="AZ93" s="52" t="s">
        <v>227</v>
      </c>
      <c r="BA93" s="32" t="s">
        <v>121</v>
      </c>
      <c r="BC93" s="50">
        <f>AW93+AX93</f>
        <v>0</v>
      </c>
      <c r="BD93" s="50">
        <f>G93/(100-BE93)*100</f>
        <v>0</v>
      </c>
      <c r="BE93" s="50">
        <v>0</v>
      </c>
      <c r="BF93" s="50">
        <f>93</f>
        <v>93</v>
      </c>
      <c r="BH93" s="50">
        <f>F93*AO93</f>
        <v>0</v>
      </c>
      <c r="BI93" s="50">
        <f>F93*AP93</f>
        <v>0</v>
      </c>
      <c r="BJ93" s="50">
        <f>F93*G93</f>
        <v>0</v>
      </c>
      <c r="BK93" s="52" t="s">
        <v>122</v>
      </c>
      <c r="BL93" s="50">
        <v>34</v>
      </c>
      <c r="BW93" s="50">
        <v>21</v>
      </c>
      <c r="BX93" s="3" t="s">
        <v>263</v>
      </c>
    </row>
    <row r="94" spans="1:76" ht="13.5" customHeight="1" x14ac:dyDescent="0.3">
      <c r="A94" s="53"/>
      <c r="B94" s="57" t="s">
        <v>157</v>
      </c>
      <c r="C94" s="150" t="s">
        <v>265</v>
      </c>
      <c r="D94" s="151"/>
      <c r="E94" s="151"/>
      <c r="F94" s="151"/>
      <c r="G94" s="151"/>
      <c r="H94" s="151"/>
      <c r="I94" s="151"/>
      <c r="J94" s="151"/>
      <c r="K94" s="152"/>
    </row>
    <row r="95" spans="1:76" ht="14.4" x14ac:dyDescent="0.3">
      <c r="A95" s="53"/>
      <c r="C95" s="54" t="s">
        <v>266</v>
      </c>
      <c r="D95" s="54" t="s">
        <v>4</v>
      </c>
      <c r="F95" s="55">
        <v>56.8</v>
      </c>
      <c r="K95" s="56"/>
    </row>
    <row r="96" spans="1:76" ht="14.4" x14ac:dyDescent="0.3">
      <c r="A96" s="1" t="s">
        <v>267</v>
      </c>
      <c r="B96" s="2" t="s">
        <v>268</v>
      </c>
      <c r="C96" s="75" t="s">
        <v>269</v>
      </c>
      <c r="D96" s="70"/>
      <c r="E96" s="2" t="s">
        <v>242</v>
      </c>
      <c r="F96" s="50">
        <v>1</v>
      </c>
      <c r="G96" s="50">
        <v>0</v>
      </c>
      <c r="H96" s="50">
        <f>ROUND(F96*AO96,2)</f>
        <v>0</v>
      </c>
      <c r="I96" s="50">
        <f>ROUND(F96*AP96,2)</f>
        <v>0</v>
      </c>
      <c r="J96" s="50">
        <f>ROUND(F96*G96,2)</f>
        <v>0</v>
      </c>
      <c r="K96" s="51" t="s">
        <v>118</v>
      </c>
      <c r="Z96" s="50">
        <f>ROUND(IF(AQ96="5",BJ96,0),2)</f>
        <v>0</v>
      </c>
      <c r="AB96" s="50">
        <f>ROUND(IF(AQ96="1",BH96,0),2)</f>
        <v>0</v>
      </c>
      <c r="AC96" s="50">
        <f>ROUND(IF(AQ96="1",BI96,0),2)</f>
        <v>0</v>
      </c>
      <c r="AD96" s="50">
        <f>ROUND(IF(AQ96="7",BH96,0),2)</f>
        <v>0</v>
      </c>
      <c r="AE96" s="50">
        <f>ROUND(IF(AQ96="7",BI96,0),2)</f>
        <v>0</v>
      </c>
      <c r="AF96" s="50">
        <f>ROUND(IF(AQ96="2",BH96,0),2)</f>
        <v>0</v>
      </c>
      <c r="AG96" s="50">
        <f>ROUND(IF(AQ96="2",BI96,0),2)</f>
        <v>0</v>
      </c>
      <c r="AH96" s="50">
        <f>ROUND(IF(AQ96="0",BJ96,0),2)</f>
        <v>0</v>
      </c>
      <c r="AI96" s="32" t="s">
        <v>4</v>
      </c>
      <c r="AJ96" s="50">
        <f>IF(AN96=0,J96,0)</f>
        <v>0</v>
      </c>
      <c r="AK96" s="50">
        <f>IF(AN96=12,J96,0)</f>
        <v>0</v>
      </c>
      <c r="AL96" s="50">
        <f>IF(AN96=21,J96,0)</f>
        <v>0</v>
      </c>
      <c r="AN96" s="50">
        <v>21</v>
      </c>
      <c r="AO96" s="50">
        <f>G96*0</f>
        <v>0</v>
      </c>
      <c r="AP96" s="50">
        <f>G96*(1-0)</f>
        <v>0</v>
      </c>
      <c r="AQ96" s="52" t="s">
        <v>114</v>
      </c>
      <c r="AV96" s="50">
        <f>ROUND(AW96+AX96,2)</f>
        <v>0</v>
      </c>
      <c r="AW96" s="50">
        <f>ROUND(F96*AO96,2)</f>
        <v>0</v>
      </c>
      <c r="AX96" s="50">
        <f>ROUND(F96*AP96,2)</f>
        <v>0</v>
      </c>
      <c r="AY96" s="52" t="s">
        <v>264</v>
      </c>
      <c r="AZ96" s="52" t="s">
        <v>227</v>
      </c>
      <c r="BA96" s="32" t="s">
        <v>121</v>
      </c>
      <c r="BC96" s="50">
        <f>AW96+AX96</f>
        <v>0</v>
      </c>
      <c r="BD96" s="50">
        <f>G96/(100-BE96)*100</f>
        <v>0</v>
      </c>
      <c r="BE96" s="50">
        <v>0</v>
      </c>
      <c r="BF96" s="50">
        <f>96</f>
        <v>96</v>
      </c>
      <c r="BH96" s="50">
        <f>F96*AO96</f>
        <v>0</v>
      </c>
      <c r="BI96" s="50">
        <f>F96*AP96</f>
        <v>0</v>
      </c>
      <c r="BJ96" s="50">
        <f>F96*G96</f>
        <v>0</v>
      </c>
      <c r="BK96" s="52" t="s">
        <v>122</v>
      </c>
      <c r="BL96" s="50">
        <v>34</v>
      </c>
      <c r="BW96" s="50">
        <v>21</v>
      </c>
      <c r="BX96" s="3" t="s">
        <v>269</v>
      </c>
    </row>
    <row r="97" spans="1:76" ht="14.4" x14ac:dyDescent="0.3">
      <c r="A97" s="53"/>
      <c r="C97" s="54" t="s">
        <v>114</v>
      </c>
      <c r="D97" s="54" t="s">
        <v>4</v>
      </c>
      <c r="F97" s="55">
        <v>1</v>
      </c>
      <c r="K97" s="56"/>
    </row>
    <row r="98" spans="1:76" ht="14.4" x14ac:dyDescent="0.3">
      <c r="A98" s="46" t="s">
        <v>4</v>
      </c>
      <c r="B98" s="47" t="s">
        <v>270</v>
      </c>
      <c r="C98" s="148" t="s">
        <v>271</v>
      </c>
      <c r="D98" s="149"/>
      <c r="E98" s="48" t="s">
        <v>79</v>
      </c>
      <c r="F98" s="48" t="s">
        <v>79</v>
      </c>
      <c r="G98" s="48" t="s">
        <v>79</v>
      </c>
      <c r="H98" s="26">
        <f>ROUND(SUM(H99:H114),2)</f>
        <v>0</v>
      </c>
      <c r="I98" s="26">
        <f>ROUND(SUM(I99:I114),2)</f>
        <v>0</v>
      </c>
      <c r="J98" s="26">
        <f>ROUND(SUM(J99:J114),2)</f>
        <v>0</v>
      </c>
      <c r="K98" s="49" t="s">
        <v>4</v>
      </c>
      <c r="AI98" s="32" t="s">
        <v>4</v>
      </c>
      <c r="AS98" s="26">
        <f>SUM(AJ99:AJ114)</f>
        <v>0</v>
      </c>
      <c r="AT98" s="26">
        <f>SUM(AK99:AK114)</f>
        <v>0</v>
      </c>
      <c r="AU98" s="26">
        <f>SUM(AL99:AL114)</f>
        <v>0</v>
      </c>
    </row>
    <row r="99" spans="1:76" ht="14.4" x14ac:dyDescent="0.3">
      <c r="A99" s="1" t="s">
        <v>272</v>
      </c>
      <c r="B99" s="2" t="s">
        <v>273</v>
      </c>
      <c r="C99" s="75" t="s">
        <v>274</v>
      </c>
      <c r="D99" s="70"/>
      <c r="E99" s="2" t="s">
        <v>117</v>
      </c>
      <c r="F99" s="50">
        <v>1.7124999999999999</v>
      </c>
      <c r="G99" s="50">
        <v>0</v>
      </c>
      <c r="H99" s="50">
        <f>ROUND(F99*AO99,2)</f>
        <v>0</v>
      </c>
      <c r="I99" s="50">
        <f>ROUND(F99*AP99,2)</f>
        <v>0</v>
      </c>
      <c r="J99" s="50">
        <f>ROUND(F99*G99,2)</f>
        <v>0</v>
      </c>
      <c r="K99" s="51" t="s">
        <v>118</v>
      </c>
      <c r="Z99" s="50">
        <f>ROUND(IF(AQ99="5",BJ99,0),2)</f>
        <v>0</v>
      </c>
      <c r="AB99" s="50">
        <f>ROUND(IF(AQ99="1",BH99,0),2)</f>
        <v>0</v>
      </c>
      <c r="AC99" s="50">
        <f>ROUND(IF(AQ99="1",BI99,0),2)</f>
        <v>0</v>
      </c>
      <c r="AD99" s="50">
        <f>ROUND(IF(AQ99="7",BH99,0),2)</f>
        <v>0</v>
      </c>
      <c r="AE99" s="50">
        <f>ROUND(IF(AQ99="7",BI99,0),2)</f>
        <v>0</v>
      </c>
      <c r="AF99" s="50">
        <f>ROUND(IF(AQ99="2",BH99,0),2)</f>
        <v>0</v>
      </c>
      <c r="AG99" s="50">
        <f>ROUND(IF(AQ99="2",BI99,0),2)</f>
        <v>0</v>
      </c>
      <c r="AH99" s="50">
        <f>ROUND(IF(AQ99="0",BJ99,0),2)</f>
        <v>0</v>
      </c>
      <c r="AI99" s="32" t="s">
        <v>4</v>
      </c>
      <c r="AJ99" s="50">
        <f>IF(AN99=0,J99,0)</f>
        <v>0</v>
      </c>
      <c r="AK99" s="50">
        <f>IF(AN99=12,J99,0)</f>
        <v>0</v>
      </c>
      <c r="AL99" s="50">
        <f>IF(AN99=21,J99,0)</f>
        <v>0</v>
      </c>
      <c r="AN99" s="50">
        <v>21</v>
      </c>
      <c r="AO99" s="50">
        <f>G99*0.816210315</f>
        <v>0</v>
      </c>
      <c r="AP99" s="50">
        <f>G99*(1-0.816210315)</f>
        <v>0</v>
      </c>
      <c r="AQ99" s="52" t="s">
        <v>114</v>
      </c>
      <c r="AV99" s="50">
        <f>ROUND(AW99+AX99,2)</f>
        <v>0</v>
      </c>
      <c r="AW99" s="50">
        <f>ROUND(F99*AO99,2)</f>
        <v>0</v>
      </c>
      <c r="AX99" s="50">
        <f>ROUND(F99*AP99,2)</f>
        <v>0</v>
      </c>
      <c r="AY99" s="52" t="s">
        <v>275</v>
      </c>
      <c r="AZ99" s="52" t="s">
        <v>276</v>
      </c>
      <c r="BA99" s="32" t="s">
        <v>121</v>
      </c>
      <c r="BC99" s="50">
        <f>AW99+AX99</f>
        <v>0</v>
      </c>
      <c r="BD99" s="50">
        <f>G99/(100-BE99)*100</f>
        <v>0</v>
      </c>
      <c r="BE99" s="50">
        <v>0</v>
      </c>
      <c r="BF99" s="50">
        <f>99</f>
        <v>99</v>
      </c>
      <c r="BH99" s="50">
        <f>F99*AO99</f>
        <v>0</v>
      </c>
      <c r="BI99" s="50">
        <f>F99*AP99</f>
        <v>0</v>
      </c>
      <c r="BJ99" s="50">
        <f>F99*G99</f>
        <v>0</v>
      </c>
      <c r="BK99" s="52" t="s">
        <v>122</v>
      </c>
      <c r="BL99" s="50">
        <v>41</v>
      </c>
      <c r="BW99" s="50">
        <v>21</v>
      </c>
      <c r="BX99" s="3" t="s">
        <v>274</v>
      </c>
    </row>
    <row r="100" spans="1:76" ht="14.4" x14ac:dyDescent="0.3">
      <c r="A100" s="53"/>
      <c r="C100" s="54" t="s">
        <v>277</v>
      </c>
      <c r="D100" s="54" t="s">
        <v>4</v>
      </c>
      <c r="F100" s="55">
        <v>1.7124999999999999</v>
      </c>
      <c r="K100" s="56"/>
    </row>
    <row r="101" spans="1:76" ht="14.4" x14ac:dyDescent="0.3">
      <c r="A101" s="1" t="s">
        <v>222</v>
      </c>
      <c r="B101" s="2" t="s">
        <v>278</v>
      </c>
      <c r="C101" s="75" t="s">
        <v>279</v>
      </c>
      <c r="D101" s="70"/>
      <c r="E101" s="2" t="s">
        <v>177</v>
      </c>
      <c r="F101" s="50">
        <v>16.440000000000001</v>
      </c>
      <c r="G101" s="50">
        <v>0</v>
      </c>
      <c r="H101" s="50">
        <f>ROUND(F101*AO101,2)</f>
        <v>0</v>
      </c>
      <c r="I101" s="50">
        <f>ROUND(F101*AP101,2)</f>
        <v>0</v>
      </c>
      <c r="J101" s="50">
        <f>ROUND(F101*G101,2)</f>
        <v>0</v>
      </c>
      <c r="K101" s="51" t="s">
        <v>118</v>
      </c>
      <c r="Z101" s="50">
        <f>ROUND(IF(AQ101="5",BJ101,0),2)</f>
        <v>0</v>
      </c>
      <c r="AB101" s="50">
        <f>ROUND(IF(AQ101="1",BH101,0),2)</f>
        <v>0</v>
      </c>
      <c r="AC101" s="50">
        <f>ROUND(IF(AQ101="1",BI101,0),2)</f>
        <v>0</v>
      </c>
      <c r="AD101" s="50">
        <f>ROUND(IF(AQ101="7",BH101,0),2)</f>
        <v>0</v>
      </c>
      <c r="AE101" s="50">
        <f>ROUND(IF(AQ101="7",BI101,0),2)</f>
        <v>0</v>
      </c>
      <c r="AF101" s="50">
        <f>ROUND(IF(AQ101="2",BH101,0),2)</f>
        <v>0</v>
      </c>
      <c r="AG101" s="50">
        <f>ROUND(IF(AQ101="2",BI101,0),2)</f>
        <v>0</v>
      </c>
      <c r="AH101" s="50">
        <f>ROUND(IF(AQ101="0",BJ101,0),2)</f>
        <v>0</v>
      </c>
      <c r="AI101" s="32" t="s">
        <v>4</v>
      </c>
      <c r="AJ101" s="50">
        <f>IF(AN101=0,J101,0)</f>
        <v>0</v>
      </c>
      <c r="AK101" s="50">
        <f>IF(AN101=12,J101,0)</f>
        <v>0</v>
      </c>
      <c r="AL101" s="50">
        <f>IF(AN101=21,J101,0)</f>
        <v>0</v>
      </c>
      <c r="AN101" s="50">
        <v>21</v>
      </c>
      <c r="AO101" s="50">
        <f>G101*0.195284275</f>
        <v>0</v>
      </c>
      <c r="AP101" s="50">
        <f>G101*(1-0.195284275)</f>
        <v>0</v>
      </c>
      <c r="AQ101" s="52" t="s">
        <v>114</v>
      </c>
      <c r="AV101" s="50">
        <f>ROUND(AW101+AX101,2)</f>
        <v>0</v>
      </c>
      <c r="AW101" s="50">
        <f>ROUND(F101*AO101,2)</f>
        <v>0</v>
      </c>
      <c r="AX101" s="50">
        <f>ROUND(F101*AP101,2)</f>
        <v>0</v>
      </c>
      <c r="AY101" s="52" t="s">
        <v>275</v>
      </c>
      <c r="AZ101" s="52" t="s">
        <v>276</v>
      </c>
      <c r="BA101" s="32" t="s">
        <v>121</v>
      </c>
      <c r="BC101" s="50">
        <f>AW101+AX101</f>
        <v>0</v>
      </c>
      <c r="BD101" s="50">
        <f>G101/(100-BE101)*100</f>
        <v>0</v>
      </c>
      <c r="BE101" s="50">
        <v>0</v>
      </c>
      <c r="BF101" s="50">
        <f>101</f>
        <v>101</v>
      </c>
      <c r="BH101" s="50">
        <f>F101*AO101</f>
        <v>0</v>
      </c>
      <c r="BI101" s="50">
        <f>F101*AP101</f>
        <v>0</v>
      </c>
      <c r="BJ101" s="50">
        <f>F101*G101</f>
        <v>0</v>
      </c>
      <c r="BK101" s="52" t="s">
        <v>122</v>
      </c>
      <c r="BL101" s="50">
        <v>41</v>
      </c>
      <c r="BW101" s="50">
        <v>21</v>
      </c>
      <c r="BX101" s="3" t="s">
        <v>279</v>
      </c>
    </row>
    <row r="102" spans="1:76" ht="14.4" x14ac:dyDescent="0.3">
      <c r="A102" s="53"/>
      <c r="C102" s="54" t="s">
        <v>280</v>
      </c>
      <c r="D102" s="54" t="s">
        <v>4</v>
      </c>
      <c r="F102" s="55">
        <v>16.440000000000001</v>
      </c>
      <c r="K102" s="56"/>
    </row>
    <row r="103" spans="1:76" ht="14.4" x14ac:dyDescent="0.3">
      <c r="A103" s="1" t="s">
        <v>281</v>
      </c>
      <c r="B103" s="2" t="s">
        <v>282</v>
      </c>
      <c r="C103" s="75" t="s">
        <v>283</v>
      </c>
      <c r="D103" s="70"/>
      <c r="E103" s="2" t="s">
        <v>177</v>
      </c>
      <c r="F103" s="50">
        <v>16.440000000000001</v>
      </c>
      <c r="G103" s="50">
        <v>0</v>
      </c>
      <c r="H103" s="50">
        <f>ROUND(F103*AO103,2)</f>
        <v>0</v>
      </c>
      <c r="I103" s="50">
        <f>ROUND(F103*AP103,2)</f>
        <v>0</v>
      </c>
      <c r="J103" s="50">
        <f>ROUND(F103*G103,2)</f>
        <v>0</v>
      </c>
      <c r="K103" s="51" t="s">
        <v>118</v>
      </c>
      <c r="Z103" s="50">
        <f>ROUND(IF(AQ103="5",BJ103,0),2)</f>
        <v>0</v>
      </c>
      <c r="AB103" s="50">
        <f>ROUND(IF(AQ103="1",BH103,0),2)</f>
        <v>0</v>
      </c>
      <c r="AC103" s="50">
        <f>ROUND(IF(AQ103="1",BI103,0),2)</f>
        <v>0</v>
      </c>
      <c r="AD103" s="50">
        <f>ROUND(IF(AQ103="7",BH103,0),2)</f>
        <v>0</v>
      </c>
      <c r="AE103" s="50">
        <f>ROUND(IF(AQ103="7",BI103,0),2)</f>
        <v>0</v>
      </c>
      <c r="AF103" s="50">
        <f>ROUND(IF(AQ103="2",BH103,0),2)</f>
        <v>0</v>
      </c>
      <c r="AG103" s="50">
        <f>ROUND(IF(AQ103="2",BI103,0),2)</f>
        <v>0</v>
      </c>
      <c r="AH103" s="50">
        <f>ROUND(IF(AQ103="0",BJ103,0),2)</f>
        <v>0</v>
      </c>
      <c r="AI103" s="32" t="s">
        <v>4</v>
      </c>
      <c r="AJ103" s="50">
        <f>IF(AN103=0,J103,0)</f>
        <v>0</v>
      </c>
      <c r="AK103" s="50">
        <f>IF(AN103=12,J103,0)</f>
        <v>0</v>
      </c>
      <c r="AL103" s="50">
        <f>IF(AN103=21,J103,0)</f>
        <v>0</v>
      </c>
      <c r="AN103" s="50">
        <v>21</v>
      </c>
      <c r="AO103" s="50">
        <f>G103*0</f>
        <v>0</v>
      </c>
      <c r="AP103" s="50">
        <f>G103*(1-0)</f>
        <v>0</v>
      </c>
      <c r="AQ103" s="52" t="s">
        <v>114</v>
      </c>
      <c r="AV103" s="50">
        <f>ROUND(AW103+AX103,2)</f>
        <v>0</v>
      </c>
      <c r="AW103" s="50">
        <f>ROUND(F103*AO103,2)</f>
        <v>0</v>
      </c>
      <c r="AX103" s="50">
        <f>ROUND(F103*AP103,2)</f>
        <v>0</v>
      </c>
      <c r="AY103" s="52" t="s">
        <v>275</v>
      </c>
      <c r="AZ103" s="52" t="s">
        <v>276</v>
      </c>
      <c r="BA103" s="32" t="s">
        <v>121</v>
      </c>
      <c r="BC103" s="50">
        <f>AW103+AX103</f>
        <v>0</v>
      </c>
      <c r="BD103" s="50">
        <f>G103/(100-BE103)*100</f>
        <v>0</v>
      </c>
      <c r="BE103" s="50">
        <v>0</v>
      </c>
      <c r="BF103" s="50">
        <f>103</f>
        <v>103</v>
      </c>
      <c r="BH103" s="50">
        <f>F103*AO103</f>
        <v>0</v>
      </c>
      <c r="BI103" s="50">
        <f>F103*AP103</f>
        <v>0</v>
      </c>
      <c r="BJ103" s="50">
        <f>F103*G103</f>
        <v>0</v>
      </c>
      <c r="BK103" s="52" t="s">
        <v>122</v>
      </c>
      <c r="BL103" s="50">
        <v>41</v>
      </c>
      <c r="BW103" s="50">
        <v>21</v>
      </c>
      <c r="BX103" s="3" t="s">
        <v>283</v>
      </c>
    </row>
    <row r="104" spans="1:76" ht="14.4" x14ac:dyDescent="0.3">
      <c r="A104" s="53"/>
      <c r="C104" s="54" t="s">
        <v>280</v>
      </c>
      <c r="D104" s="54" t="s">
        <v>4</v>
      </c>
      <c r="F104" s="55">
        <v>16.440000000000001</v>
      </c>
      <c r="K104" s="56"/>
    </row>
    <row r="105" spans="1:76" ht="14.4" x14ac:dyDescent="0.3">
      <c r="A105" s="1" t="s">
        <v>284</v>
      </c>
      <c r="B105" s="2" t="s">
        <v>285</v>
      </c>
      <c r="C105" s="75" t="s">
        <v>286</v>
      </c>
      <c r="D105" s="70"/>
      <c r="E105" s="2" t="s">
        <v>219</v>
      </c>
      <c r="F105" s="50">
        <v>0.154</v>
      </c>
      <c r="G105" s="50">
        <v>0</v>
      </c>
      <c r="H105" s="50">
        <f>ROUND(F105*AO105,2)</f>
        <v>0</v>
      </c>
      <c r="I105" s="50">
        <f>ROUND(F105*AP105,2)</f>
        <v>0</v>
      </c>
      <c r="J105" s="50">
        <f>ROUND(F105*G105,2)</f>
        <v>0</v>
      </c>
      <c r="K105" s="51" t="s">
        <v>118</v>
      </c>
      <c r="Z105" s="50">
        <f>ROUND(IF(AQ105="5",BJ105,0),2)</f>
        <v>0</v>
      </c>
      <c r="AB105" s="50">
        <f>ROUND(IF(AQ105="1",BH105,0),2)</f>
        <v>0</v>
      </c>
      <c r="AC105" s="50">
        <f>ROUND(IF(AQ105="1",BI105,0),2)</f>
        <v>0</v>
      </c>
      <c r="AD105" s="50">
        <f>ROUND(IF(AQ105="7",BH105,0),2)</f>
        <v>0</v>
      </c>
      <c r="AE105" s="50">
        <f>ROUND(IF(AQ105="7",BI105,0),2)</f>
        <v>0</v>
      </c>
      <c r="AF105" s="50">
        <f>ROUND(IF(AQ105="2",BH105,0),2)</f>
        <v>0</v>
      </c>
      <c r="AG105" s="50">
        <f>ROUND(IF(AQ105="2",BI105,0),2)</f>
        <v>0</v>
      </c>
      <c r="AH105" s="50">
        <f>ROUND(IF(AQ105="0",BJ105,0),2)</f>
        <v>0</v>
      </c>
      <c r="AI105" s="32" t="s">
        <v>4</v>
      </c>
      <c r="AJ105" s="50">
        <f>IF(AN105=0,J105,0)</f>
        <v>0</v>
      </c>
      <c r="AK105" s="50">
        <f>IF(AN105=12,J105,0)</f>
        <v>0</v>
      </c>
      <c r="AL105" s="50">
        <f>IF(AN105=21,J105,0)</f>
        <v>0</v>
      </c>
      <c r="AN105" s="50">
        <v>21</v>
      </c>
      <c r="AO105" s="50">
        <f>G105*0.690049511</f>
        <v>0</v>
      </c>
      <c r="AP105" s="50">
        <f>G105*(1-0.690049511)</f>
        <v>0</v>
      </c>
      <c r="AQ105" s="52" t="s">
        <v>114</v>
      </c>
      <c r="AV105" s="50">
        <f>ROUND(AW105+AX105,2)</f>
        <v>0</v>
      </c>
      <c r="AW105" s="50">
        <f>ROUND(F105*AO105,2)</f>
        <v>0</v>
      </c>
      <c r="AX105" s="50">
        <f>ROUND(F105*AP105,2)</f>
        <v>0</v>
      </c>
      <c r="AY105" s="52" t="s">
        <v>275</v>
      </c>
      <c r="AZ105" s="52" t="s">
        <v>276</v>
      </c>
      <c r="BA105" s="32" t="s">
        <v>121</v>
      </c>
      <c r="BC105" s="50">
        <f>AW105+AX105</f>
        <v>0</v>
      </c>
      <c r="BD105" s="50">
        <f>G105/(100-BE105)*100</f>
        <v>0</v>
      </c>
      <c r="BE105" s="50">
        <v>0</v>
      </c>
      <c r="BF105" s="50">
        <f>105</f>
        <v>105</v>
      </c>
      <c r="BH105" s="50">
        <f>F105*AO105</f>
        <v>0</v>
      </c>
      <c r="BI105" s="50">
        <f>F105*AP105</f>
        <v>0</v>
      </c>
      <c r="BJ105" s="50">
        <f>F105*G105</f>
        <v>0</v>
      </c>
      <c r="BK105" s="52" t="s">
        <v>122</v>
      </c>
      <c r="BL105" s="50">
        <v>41</v>
      </c>
      <c r="BW105" s="50">
        <v>21</v>
      </c>
      <c r="BX105" s="3" t="s">
        <v>286</v>
      </c>
    </row>
    <row r="106" spans="1:76" ht="14.4" x14ac:dyDescent="0.3">
      <c r="A106" s="53"/>
      <c r="C106" s="54" t="s">
        <v>287</v>
      </c>
      <c r="D106" s="54" t="s">
        <v>4</v>
      </c>
      <c r="F106" s="55">
        <v>0.154</v>
      </c>
      <c r="K106" s="56"/>
    </row>
    <row r="107" spans="1:76" ht="14.4" x14ac:dyDescent="0.3">
      <c r="A107" s="1" t="s">
        <v>259</v>
      </c>
      <c r="B107" s="2" t="s">
        <v>288</v>
      </c>
      <c r="C107" s="75" t="s">
        <v>289</v>
      </c>
      <c r="D107" s="70"/>
      <c r="E107" s="2" t="s">
        <v>242</v>
      </c>
      <c r="F107" s="50">
        <v>7</v>
      </c>
      <c r="G107" s="50">
        <v>0</v>
      </c>
      <c r="H107" s="50">
        <f>ROUND(F107*AO107,2)</f>
        <v>0</v>
      </c>
      <c r="I107" s="50">
        <f>ROUND(F107*AP107,2)</f>
        <v>0</v>
      </c>
      <c r="J107" s="50">
        <f>ROUND(F107*G107,2)</f>
        <v>0</v>
      </c>
      <c r="K107" s="51" t="s">
        <v>118</v>
      </c>
      <c r="Z107" s="50">
        <f>ROUND(IF(AQ107="5",BJ107,0),2)</f>
        <v>0</v>
      </c>
      <c r="AB107" s="50">
        <f>ROUND(IF(AQ107="1",BH107,0),2)</f>
        <v>0</v>
      </c>
      <c r="AC107" s="50">
        <f>ROUND(IF(AQ107="1",BI107,0),2)</f>
        <v>0</v>
      </c>
      <c r="AD107" s="50">
        <f>ROUND(IF(AQ107="7",BH107,0),2)</f>
        <v>0</v>
      </c>
      <c r="AE107" s="50">
        <f>ROUND(IF(AQ107="7",BI107,0),2)</f>
        <v>0</v>
      </c>
      <c r="AF107" s="50">
        <f>ROUND(IF(AQ107="2",BH107,0),2)</f>
        <v>0</v>
      </c>
      <c r="AG107" s="50">
        <f>ROUND(IF(AQ107="2",BI107,0),2)</f>
        <v>0</v>
      </c>
      <c r="AH107" s="50">
        <f>ROUND(IF(AQ107="0",BJ107,0),2)</f>
        <v>0</v>
      </c>
      <c r="AI107" s="32" t="s">
        <v>4</v>
      </c>
      <c r="AJ107" s="50">
        <f>IF(AN107=0,J107,0)</f>
        <v>0</v>
      </c>
      <c r="AK107" s="50">
        <f>IF(AN107=12,J107,0)</f>
        <v>0</v>
      </c>
      <c r="AL107" s="50">
        <f>IF(AN107=21,J107,0)</f>
        <v>0</v>
      </c>
      <c r="AN107" s="50">
        <v>21</v>
      </c>
      <c r="AO107" s="50">
        <f>G107*0.213856574</f>
        <v>0</v>
      </c>
      <c r="AP107" s="50">
        <f>G107*(1-0.213856574)</f>
        <v>0</v>
      </c>
      <c r="AQ107" s="52" t="s">
        <v>114</v>
      </c>
      <c r="AV107" s="50">
        <f>ROUND(AW107+AX107,2)</f>
        <v>0</v>
      </c>
      <c r="AW107" s="50">
        <f>ROUND(F107*AO107,2)</f>
        <v>0</v>
      </c>
      <c r="AX107" s="50">
        <f>ROUND(F107*AP107,2)</f>
        <v>0</v>
      </c>
      <c r="AY107" s="52" t="s">
        <v>275</v>
      </c>
      <c r="AZ107" s="52" t="s">
        <v>276</v>
      </c>
      <c r="BA107" s="32" t="s">
        <v>121</v>
      </c>
      <c r="BC107" s="50">
        <f>AW107+AX107</f>
        <v>0</v>
      </c>
      <c r="BD107" s="50">
        <f>G107/(100-BE107)*100</f>
        <v>0</v>
      </c>
      <c r="BE107" s="50">
        <v>0</v>
      </c>
      <c r="BF107" s="50">
        <f>107</f>
        <v>107</v>
      </c>
      <c r="BH107" s="50">
        <f>F107*AO107</f>
        <v>0</v>
      </c>
      <c r="BI107" s="50">
        <f>F107*AP107</f>
        <v>0</v>
      </c>
      <c r="BJ107" s="50">
        <f>F107*G107</f>
        <v>0</v>
      </c>
      <c r="BK107" s="52" t="s">
        <v>122</v>
      </c>
      <c r="BL107" s="50">
        <v>41</v>
      </c>
      <c r="BW107" s="50">
        <v>21</v>
      </c>
      <c r="BX107" s="3" t="s">
        <v>289</v>
      </c>
    </row>
    <row r="108" spans="1:76" ht="14.4" x14ac:dyDescent="0.3">
      <c r="A108" s="53"/>
      <c r="C108" s="54" t="s">
        <v>153</v>
      </c>
      <c r="D108" s="54" t="s">
        <v>4</v>
      </c>
      <c r="F108" s="55">
        <v>7</v>
      </c>
      <c r="K108" s="56"/>
    </row>
    <row r="109" spans="1:76" ht="14.4" x14ac:dyDescent="0.3">
      <c r="A109" s="1" t="s">
        <v>290</v>
      </c>
      <c r="B109" s="2" t="s">
        <v>291</v>
      </c>
      <c r="C109" s="75" t="s">
        <v>292</v>
      </c>
      <c r="D109" s="70"/>
      <c r="E109" s="2" t="s">
        <v>257</v>
      </c>
      <c r="F109" s="50">
        <v>34.700000000000003</v>
      </c>
      <c r="G109" s="50">
        <v>0</v>
      </c>
      <c r="H109" s="50">
        <f>ROUND(F109*AO109,2)</f>
        <v>0</v>
      </c>
      <c r="I109" s="50">
        <f>ROUND(F109*AP109,2)</f>
        <v>0</v>
      </c>
      <c r="J109" s="50">
        <f>ROUND(F109*G109,2)</f>
        <v>0</v>
      </c>
      <c r="K109" s="51" t="s">
        <v>118</v>
      </c>
      <c r="Z109" s="50">
        <f>ROUND(IF(AQ109="5",BJ109,0),2)</f>
        <v>0</v>
      </c>
      <c r="AB109" s="50">
        <f>ROUND(IF(AQ109="1",BH109,0),2)</f>
        <v>0</v>
      </c>
      <c r="AC109" s="50">
        <f>ROUND(IF(AQ109="1",BI109,0),2)</f>
        <v>0</v>
      </c>
      <c r="AD109" s="50">
        <f>ROUND(IF(AQ109="7",BH109,0),2)</f>
        <v>0</v>
      </c>
      <c r="AE109" s="50">
        <f>ROUND(IF(AQ109="7",BI109,0),2)</f>
        <v>0</v>
      </c>
      <c r="AF109" s="50">
        <f>ROUND(IF(AQ109="2",BH109,0),2)</f>
        <v>0</v>
      </c>
      <c r="AG109" s="50">
        <f>ROUND(IF(AQ109="2",BI109,0),2)</f>
        <v>0</v>
      </c>
      <c r="AH109" s="50">
        <f>ROUND(IF(AQ109="0",BJ109,0),2)</f>
        <v>0</v>
      </c>
      <c r="AI109" s="32" t="s">
        <v>4</v>
      </c>
      <c r="AJ109" s="50">
        <f>IF(AN109=0,J109,0)</f>
        <v>0</v>
      </c>
      <c r="AK109" s="50">
        <f>IF(AN109=12,J109,0)</f>
        <v>0</v>
      </c>
      <c r="AL109" s="50">
        <f>IF(AN109=21,J109,0)</f>
        <v>0</v>
      </c>
      <c r="AN109" s="50">
        <v>21</v>
      </c>
      <c r="AO109" s="50">
        <f>G109*1</f>
        <v>0</v>
      </c>
      <c r="AP109" s="50">
        <f>G109*(1-1)</f>
        <v>0</v>
      </c>
      <c r="AQ109" s="52" t="s">
        <v>114</v>
      </c>
      <c r="AV109" s="50">
        <f>ROUND(AW109+AX109,2)</f>
        <v>0</v>
      </c>
      <c r="AW109" s="50">
        <f>ROUND(F109*AO109,2)</f>
        <v>0</v>
      </c>
      <c r="AX109" s="50">
        <f>ROUND(F109*AP109,2)</f>
        <v>0</v>
      </c>
      <c r="AY109" s="52" t="s">
        <v>275</v>
      </c>
      <c r="AZ109" s="52" t="s">
        <v>276</v>
      </c>
      <c r="BA109" s="32" t="s">
        <v>121</v>
      </c>
      <c r="BC109" s="50">
        <f>AW109+AX109</f>
        <v>0</v>
      </c>
      <c r="BD109" s="50">
        <f>G109/(100-BE109)*100</f>
        <v>0</v>
      </c>
      <c r="BE109" s="50">
        <v>0</v>
      </c>
      <c r="BF109" s="50">
        <f>109</f>
        <v>109</v>
      </c>
      <c r="BH109" s="50">
        <f>F109*AO109</f>
        <v>0</v>
      </c>
      <c r="BI109" s="50">
        <f>F109*AP109</f>
        <v>0</v>
      </c>
      <c r="BJ109" s="50">
        <f>F109*G109</f>
        <v>0</v>
      </c>
      <c r="BK109" s="52" t="s">
        <v>183</v>
      </c>
      <c r="BL109" s="50">
        <v>41</v>
      </c>
      <c r="BW109" s="50">
        <v>21</v>
      </c>
      <c r="BX109" s="3" t="s">
        <v>292</v>
      </c>
    </row>
    <row r="110" spans="1:76" ht="14.4" x14ac:dyDescent="0.3">
      <c r="A110" s="53"/>
      <c r="C110" s="54" t="s">
        <v>293</v>
      </c>
      <c r="D110" s="54" t="s">
        <v>4</v>
      </c>
      <c r="F110" s="55">
        <v>30</v>
      </c>
      <c r="K110" s="56"/>
    </row>
    <row r="111" spans="1:76" ht="14.4" x14ac:dyDescent="0.3">
      <c r="A111" s="53"/>
      <c r="C111" s="54" t="s">
        <v>294</v>
      </c>
      <c r="D111" s="54" t="s">
        <v>4</v>
      </c>
      <c r="F111" s="55">
        <v>4.7</v>
      </c>
      <c r="K111" s="56"/>
    </row>
    <row r="112" spans="1:76" ht="14.4" x14ac:dyDescent="0.3">
      <c r="A112" s="1" t="s">
        <v>295</v>
      </c>
      <c r="B112" s="2" t="s">
        <v>296</v>
      </c>
      <c r="C112" s="75" t="s">
        <v>297</v>
      </c>
      <c r="D112" s="70"/>
      <c r="E112" s="2" t="s">
        <v>177</v>
      </c>
      <c r="F112" s="50">
        <v>38.76</v>
      </c>
      <c r="G112" s="50">
        <v>0</v>
      </c>
      <c r="H112" s="50">
        <f>ROUND(F112*AO112,2)</f>
        <v>0</v>
      </c>
      <c r="I112" s="50">
        <f>ROUND(F112*AP112,2)</f>
        <v>0</v>
      </c>
      <c r="J112" s="50">
        <f>ROUND(F112*G112,2)</f>
        <v>0</v>
      </c>
      <c r="K112" s="51" t="s">
        <v>118</v>
      </c>
      <c r="Z112" s="50">
        <f>ROUND(IF(AQ112="5",BJ112,0),2)</f>
        <v>0</v>
      </c>
      <c r="AB112" s="50">
        <f>ROUND(IF(AQ112="1",BH112,0),2)</f>
        <v>0</v>
      </c>
      <c r="AC112" s="50">
        <f>ROUND(IF(AQ112="1",BI112,0),2)</f>
        <v>0</v>
      </c>
      <c r="AD112" s="50">
        <f>ROUND(IF(AQ112="7",BH112,0),2)</f>
        <v>0</v>
      </c>
      <c r="AE112" s="50">
        <f>ROUND(IF(AQ112="7",BI112,0),2)</f>
        <v>0</v>
      </c>
      <c r="AF112" s="50">
        <f>ROUND(IF(AQ112="2",BH112,0),2)</f>
        <v>0</v>
      </c>
      <c r="AG112" s="50">
        <f>ROUND(IF(AQ112="2",BI112,0),2)</f>
        <v>0</v>
      </c>
      <c r="AH112" s="50">
        <f>ROUND(IF(AQ112="0",BJ112,0),2)</f>
        <v>0</v>
      </c>
      <c r="AI112" s="32" t="s">
        <v>4</v>
      </c>
      <c r="AJ112" s="50">
        <f>IF(AN112=0,J112,0)</f>
        <v>0</v>
      </c>
      <c r="AK112" s="50">
        <f>IF(AN112=12,J112,0)</f>
        <v>0</v>
      </c>
      <c r="AL112" s="50">
        <f>IF(AN112=21,J112,0)</f>
        <v>0</v>
      </c>
      <c r="AN112" s="50">
        <v>21</v>
      </c>
      <c r="AO112" s="50">
        <f>G112*0.364274496</f>
        <v>0</v>
      </c>
      <c r="AP112" s="50">
        <f>G112*(1-0.364274496)</f>
        <v>0</v>
      </c>
      <c r="AQ112" s="52" t="s">
        <v>114</v>
      </c>
      <c r="AV112" s="50">
        <f>ROUND(AW112+AX112,2)</f>
        <v>0</v>
      </c>
      <c r="AW112" s="50">
        <f>ROUND(F112*AO112,2)</f>
        <v>0</v>
      </c>
      <c r="AX112" s="50">
        <f>ROUND(F112*AP112,2)</f>
        <v>0</v>
      </c>
      <c r="AY112" s="52" t="s">
        <v>275</v>
      </c>
      <c r="AZ112" s="52" t="s">
        <v>276</v>
      </c>
      <c r="BA112" s="32" t="s">
        <v>121</v>
      </c>
      <c r="BC112" s="50">
        <f>AW112+AX112</f>
        <v>0</v>
      </c>
      <c r="BD112" s="50">
        <f>G112/(100-BE112)*100</f>
        <v>0</v>
      </c>
      <c r="BE112" s="50">
        <v>0</v>
      </c>
      <c r="BF112" s="50">
        <f>112</f>
        <v>112</v>
      </c>
      <c r="BH112" s="50">
        <f>F112*AO112</f>
        <v>0</v>
      </c>
      <c r="BI112" s="50">
        <f>F112*AP112</f>
        <v>0</v>
      </c>
      <c r="BJ112" s="50">
        <f>F112*G112</f>
        <v>0</v>
      </c>
      <c r="BK112" s="52" t="s">
        <v>122</v>
      </c>
      <c r="BL112" s="50">
        <v>41</v>
      </c>
      <c r="BW112" s="50">
        <v>21</v>
      </c>
      <c r="BX112" s="3" t="s">
        <v>297</v>
      </c>
    </row>
    <row r="113" spans="1:76" ht="14.4" x14ac:dyDescent="0.3">
      <c r="A113" s="53"/>
      <c r="C113" s="54" t="s">
        <v>298</v>
      </c>
      <c r="D113" s="54" t="s">
        <v>4</v>
      </c>
      <c r="F113" s="55">
        <v>38.76</v>
      </c>
      <c r="K113" s="56"/>
    </row>
    <row r="114" spans="1:76" ht="14.4" x14ac:dyDescent="0.3">
      <c r="A114" s="1" t="s">
        <v>299</v>
      </c>
      <c r="B114" s="2" t="s">
        <v>300</v>
      </c>
      <c r="C114" s="75" t="s">
        <v>301</v>
      </c>
      <c r="D114" s="70"/>
      <c r="E114" s="2" t="s">
        <v>219</v>
      </c>
      <c r="F114" s="50">
        <v>5.3400000000000003E-2</v>
      </c>
      <c r="G114" s="50">
        <v>0</v>
      </c>
      <c r="H114" s="50">
        <f>ROUND(F114*AO114,2)</f>
        <v>0</v>
      </c>
      <c r="I114" s="50">
        <f>ROUND(F114*AP114,2)</f>
        <v>0</v>
      </c>
      <c r="J114" s="50">
        <f>ROUND(F114*G114,2)</f>
        <v>0</v>
      </c>
      <c r="K114" s="51" t="s">
        <v>253</v>
      </c>
      <c r="Z114" s="50">
        <f>ROUND(IF(AQ114="5",BJ114,0),2)</f>
        <v>0</v>
      </c>
      <c r="AB114" s="50">
        <f>ROUND(IF(AQ114="1",BH114,0),2)</f>
        <v>0</v>
      </c>
      <c r="AC114" s="50">
        <f>ROUND(IF(AQ114="1",BI114,0),2)</f>
        <v>0</v>
      </c>
      <c r="AD114" s="50">
        <f>ROUND(IF(AQ114="7",BH114,0),2)</f>
        <v>0</v>
      </c>
      <c r="AE114" s="50">
        <f>ROUND(IF(AQ114="7",BI114,0),2)</f>
        <v>0</v>
      </c>
      <c r="AF114" s="50">
        <f>ROUND(IF(AQ114="2",BH114,0),2)</f>
        <v>0</v>
      </c>
      <c r="AG114" s="50">
        <f>ROUND(IF(AQ114="2",BI114,0),2)</f>
        <v>0</v>
      </c>
      <c r="AH114" s="50">
        <f>ROUND(IF(AQ114="0",BJ114,0),2)</f>
        <v>0</v>
      </c>
      <c r="AI114" s="32" t="s">
        <v>4</v>
      </c>
      <c r="AJ114" s="50">
        <f>IF(AN114=0,J114,0)</f>
        <v>0</v>
      </c>
      <c r="AK114" s="50">
        <f>IF(AN114=12,J114,0)</f>
        <v>0</v>
      </c>
      <c r="AL114" s="50">
        <f>IF(AN114=21,J114,0)</f>
        <v>0</v>
      </c>
      <c r="AN114" s="50">
        <v>21</v>
      </c>
      <c r="AO114" s="50">
        <f>G114*0.677381195</f>
        <v>0</v>
      </c>
      <c r="AP114" s="50">
        <f>G114*(1-0.677381195)</f>
        <v>0</v>
      </c>
      <c r="AQ114" s="52" t="s">
        <v>114</v>
      </c>
      <c r="AV114" s="50">
        <f>ROUND(AW114+AX114,2)</f>
        <v>0</v>
      </c>
      <c r="AW114" s="50">
        <f>ROUND(F114*AO114,2)</f>
        <v>0</v>
      </c>
      <c r="AX114" s="50">
        <f>ROUND(F114*AP114,2)</f>
        <v>0</v>
      </c>
      <c r="AY114" s="52" t="s">
        <v>275</v>
      </c>
      <c r="AZ114" s="52" t="s">
        <v>276</v>
      </c>
      <c r="BA114" s="32" t="s">
        <v>121</v>
      </c>
      <c r="BC114" s="50">
        <f>AW114+AX114</f>
        <v>0</v>
      </c>
      <c r="BD114" s="50">
        <f>G114/(100-BE114)*100</f>
        <v>0</v>
      </c>
      <c r="BE114" s="50">
        <v>0</v>
      </c>
      <c r="BF114" s="50">
        <f>114</f>
        <v>114</v>
      </c>
      <c r="BH114" s="50">
        <f>F114*AO114</f>
        <v>0</v>
      </c>
      <c r="BI114" s="50">
        <f>F114*AP114</f>
        <v>0</v>
      </c>
      <c r="BJ114" s="50">
        <f>F114*G114</f>
        <v>0</v>
      </c>
      <c r="BK114" s="52" t="s">
        <v>122</v>
      </c>
      <c r="BL114" s="50">
        <v>41</v>
      </c>
      <c r="BW114" s="50">
        <v>21</v>
      </c>
      <c r="BX114" s="3" t="s">
        <v>301</v>
      </c>
    </row>
    <row r="115" spans="1:76" ht="14.4" x14ac:dyDescent="0.3">
      <c r="A115" s="53"/>
      <c r="C115" s="54" t="s">
        <v>302</v>
      </c>
      <c r="D115" s="54" t="s">
        <v>303</v>
      </c>
      <c r="F115" s="55">
        <v>5.3400000000000003E-2</v>
      </c>
      <c r="K115" s="56"/>
    </row>
    <row r="116" spans="1:76" ht="14.4" x14ac:dyDescent="0.3">
      <c r="A116" s="46" t="s">
        <v>4</v>
      </c>
      <c r="B116" s="47" t="s">
        <v>304</v>
      </c>
      <c r="C116" s="148" t="s">
        <v>305</v>
      </c>
      <c r="D116" s="149"/>
      <c r="E116" s="48" t="s">
        <v>79</v>
      </c>
      <c r="F116" s="48" t="s">
        <v>79</v>
      </c>
      <c r="G116" s="48" t="s">
        <v>79</v>
      </c>
      <c r="H116" s="26">
        <f>ROUND(SUM(H117:H127),2)</f>
        <v>0</v>
      </c>
      <c r="I116" s="26">
        <f>ROUND(SUM(I117:I127),2)</f>
        <v>0</v>
      </c>
      <c r="J116" s="26">
        <f>ROUND(SUM(J117:J127),2)</f>
        <v>0</v>
      </c>
      <c r="K116" s="49" t="s">
        <v>4</v>
      </c>
      <c r="AI116" s="32" t="s">
        <v>4</v>
      </c>
      <c r="AS116" s="26">
        <f>SUM(AJ117:AJ127)</f>
        <v>0</v>
      </c>
      <c r="AT116" s="26">
        <f>SUM(AK117:AK127)</f>
        <v>0</v>
      </c>
      <c r="AU116" s="26">
        <f>SUM(AL117:AL127)</f>
        <v>0</v>
      </c>
    </row>
    <row r="117" spans="1:76" ht="14.4" x14ac:dyDescent="0.3">
      <c r="A117" s="1" t="s">
        <v>306</v>
      </c>
      <c r="B117" s="2" t="s">
        <v>307</v>
      </c>
      <c r="C117" s="75" t="s">
        <v>308</v>
      </c>
      <c r="D117" s="70"/>
      <c r="E117" s="2" t="s">
        <v>177</v>
      </c>
      <c r="F117" s="50">
        <v>5.2</v>
      </c>
      <c r="G117" s="50">
        <v>0</v>
      </c>
      <c r="H117" s="50">
        <f>ROUND(F117*AO117,2)</f>
        <v>0</v>
      </c>
      <c r="I117" s="50">
        <f>ROUND(F117*AP117,2)</f>
        <v>0</v>
      </c>
      <c r="J117" s="50">
        <f>ROUND(F117*G117,2)</f>
        <v>0</v>
      </c>
      <c r="K117" s="51" t="s">
        <v>118</v>
      </c>
      <c r="Z117" s="50">
        <f>ROUND(IF(AQ117="5",BJ117,0),2)</f>
        <v>0</v>
      </c>
      <c r="AB117" s="50">
        <f>ROUND(IF(AQ117="1",BH117,0),2)</f>
        <v>0</v>
      </c>
      <c r="AC117" s="50">
        <f>ROUND(IF(AQ117="1",BI117,0),2)</f>
        <v>0</v>
      </c>
      <c r="AD117" s="50">
        <f>ROUND(IF(AQ117="7",BH117,0),2)</f>
        <v>0</v>
      </c>
      <c r="AE117" s="50">
        <f>ROUND(IF(AQ117="7",BI117,0),2)</f>
        <v>0</v>
      </c>
      <c r="AF117" s="50">
        <f>ROUND(IF(AQ117="2",BH117,0),2)</f>
        <v>0</v>
      </c>
      <c r="AG117" s="50">
        <f>ROUND(IF(AQ117="2",BI117,0),2)</f>
        <v>0</v>
      </c>
      <c r="AH117" s="50">
        <f>ROUND(IF(AQ117="0",BJ117,0),2)</f>
        <v>0</v>
      </c>
      <c r="AI117" s="32" t="s">
        <v>4</v>
      </c>
      <c r="AJ117" s="50">
        <f>IF(AN117=0,J117,0)</f>
        <v>0</v>
      </c>
      <c r="AK117" s="50">
        <f>IF(AN117=12,J117,0)</f>
        <v>0</v>
      </c>
      <c r="AL117" s="50">
        <f>IF(AN117=21,J117,0)</f>
        <v>0</v>
      </c>
      <c r="AN117" s="50">
        <v>21</v>
      </c>
      <c r="AO117" s="50">
        <f>G117*0.161891166</f>
        <v>0</v>
      </c>
      <c r="AP117" s="50">
        <f>G117*(1-0.161891166)</f>
        <v>0</v>
      </c>
      <c r="AQ117" s="52" t="s">
        <v>114</v>
      </c>
      <c r="AV117" s="50">
        <f>ROUND(AW117+AX117,2)</f>
        <v>0</v>
      </c>
      <c r="AW117" s="50">
        <f>ROUND(F117*AO117,2)</f>
        <v>0</v>
      </c>
      <c r="AX117" s="50">
        <f>ROUND(F117*AP117,2)</f>
        <v>0</v>
      </c>
      <c r="AY117" s="52" t="s">
        <v>309</v>
      </c>
      <c r="AZ117" s="52" t="s">
        <v>310</v>
      </c>
      <c r="BA117" s="32" t="s">
        <v>121</v>
      </c>
      <c r="BC117" s="50">
        <f>AW117+AX117</f>
        <v>0</v>
      </c>
      <c r="BD117" s="50">
        <f>G117/(100-BE117)*100</f>
        <v>0</v>
      </c>
      <c r="BE117" s="50">
        <v>0</v>
      </c>
      <c r="BF117" s="50">
        <f>117</f>
        <v>117</v>
      </c>
      <c r="BH117" s="50">
        <f>F117*AO117</f>
        <v>0</v>
      </c>
      <c r="BI117" s="50">
        <f>F117*AP117</f>
        <v>0</v>
      </c>
      <c r="BJ117" s="50">
        <f>F117*G117</f>
        <v>0</v>
      </c>
      <c r="BK117" s="52" t="s">
        <v>122</v>
      </c>
      <c r="BL117" s="50">
        <v>59</v>
      </c>
      <c r="BW117" s="50">
        <v>21</v>
      </c>
      <c r="BX117" s="3" t="s">
        <v>308</v>
      </c>
    </row>
    <row r="118" spans="1:76" ht="14.4" x14ac:dyDescent="0.3">
      <c r="A118" s="53"/>
      <c r="C118" s="54" t="s">
        <v>311</v>
      </c>
      <c r="D118" s="54" t="s">
        <v>4</v>
      </c>
      <c r="F118" s="55">
        <v>5.2</v>
      </c>
      <c r="K118" s="56"/>
    </row>
    <row r="119" spans="1:76" ht="14.4" x14ac:dyDescent="0.3">
      <c r="A119" s="1" t="s">
        <v>312</v>
      </c>
      <c r="B119" s="2" t="s">
        <v>313</v>
      </c>
      <c r="C119" s="75" t="s">
        <v>314</v>
      </c>
      <c r="D119" s="70"/>
      <c r="E119" s="2" t="s">
        <v>177</v>
      </c>
      <c r="F119" s="50">
        <v>5.2</v>
      </c>
      <c r="G119" s="50">
        <v>0</v>
      </c>
      <c r="H119" s="50">
        <f>ROUND(F119*AO119,2)</f>
        <v>0</v>
      </c>
      <c r="I119" s="50">
        <f>ROUND(F119*AP119,2)</f>
        <v>0</v>
      </c>
      <c r="J119" s="50">
        <f>ROUND(F119*G119,2)</f>
        <v>0</v>
      </c>
      <c r="K119" s="51" t="s">
        <v>118</v>
      </c>
      <c r="Z119" s="50">
        <f>ROUND(IF(AQ119="5",BJ119,0),2)</f>
        <v>0</v>
      </c>
      <c r="AB119" s="50">
        <f>ROUND(IF(AQ119="1",BH119,0),2)</f>
        <v>0</v>
      </c>
      <c r="AC119" s="50">
        <f>ROUND(IF(AQ119="1",BI119,0),2)</f>
        <v>0</v>
      </c>
      <c r="AD119" s="50">
        <f>ROUND(IF(AQ119="7",BH119,0),2)</f>
        <v>0</v>
      </c>
      <c r="AE119" s="50">
        <f>ROUND(IF(AQ119="7",BI119,0),2)</f>
        <v>0</v>
      </c>
      <c r="AF119" s="50">
        <f>ROUND(IF(AQ119="2",BH119,0),2)</f>
        <v>0</v>
      </c>
      <c r="AG119" s="50">
        <f>ROUND(IF(AQ119="2",BI119,0),2)</f>
        <v>0</v>
      </c>
      <c r="AH119" s="50">
        <f>ROUND(IF(AQ119="0",BJ119,0),2)</f>
        <v>0</v>
      </c>
      <c r="AI119" s="32" t="s">
        <v>4</v>
      </c>
      <c r="AJ119" s="50">
        <f>IF(AN119=0,J119,0)</f>
        <v>0</v>
      </c>
      <c r="AK119" s="50">
        <f>IF(AN119=12,J119,0)</f>
        <v>0</v>
      </c>
      <c r="AL119" s="50">
        <f>IF(AN119=21,J119,0)</f>
        <v>0</v>
      </c>
      <c r="AN119" s="50">
        <v>21</v>
      </c>
      <c r="AO119" s="50">
        <f>G119*1</f>
        <v>0</v>
      </c>
      <c r="AP119" s="50">
        <f>G119*(1-1)</f>
        <v>0</v>
      </c>
      <c r="AQ119" s="52" t="s">
        <v>114</v>
      </c>
      <c r="AV119" s="50">
        <f>ROUND(AW119+AX119,2)</f>
        <v>0</v>
      </c>
      <c r="AW119" s="50">
        <f>ROUND(F119*AO119,2)</f>
        <v>0</v>
      </c>
      <c r="AX119" s="50">
        <f>ROUND(F119*AP119,2)</f>
        <v>0</v>
      </c>
      <c r="AY119" s="52" t="s">
        <v>309</v>
      </c>
      <c r="AZ119" s="52" t="s">
        <v>310</v>
      </c>
      <c r="BA119" s="32" t="s">
        <v>121</v>
      </c>
      <c r="BC119" s="50">
        <f>AW119+AX119</f>
        <v>0</v>
      </c>
      <c r="BD119" s="50">
        <f>G119/(100-BE119)*100</f>
        <v>0</v>
      </c>
      <c r="BE119" s="50">
        <v>0</v>
      </c>
      <c r="BF119" s="50">
        <f>119</f>
        <v>119</v>
      </c>
      <c r="BH119" s="50">
        <f>F119*AO119</f>
        <v>0</v>
      </c>
      <c r="BI119" s="50">
        <f>F119*AP119</f>
        <v>0</v>
      </c>
      <c r="BJ119" s="50">
        <f>F119*G119</f>
        <v>0</v>
      </c>
      <c r="BK119" s="52" t="s">
        <v>183</v>
      </c>
      <c r="BL119" s="50">
        <v>59</v>
      </c>
      <c r="BW119" s="50">
        <v>21</v>
      </c>
      <c r="BX119" s="3" t="s">
        <v>314</v>
      </c>
    </row>
    <row r="120" spans="1:76" ht="14.4" x14ac:dyDescent="0.3">
      <c r="A120" s="53"/>
      <c r="C120" s="54" t="s">
        <v>311</v>
      </c>
      <c r="D120" s="54" t="s">
        <v>4</v>
      </c>
      <c r="F120" s="55">
        <v>5.2</v>
      </c>
      <c r="K120" s="56"/>
    </row>
    <row r="121" spans="1:76" ht="14.4" x14ac:dyDescent="0.3">
      <c r="A121" s="1" t="s">
        <v>315</v>
      </c>
      <c r="B121" s="2" t="s">
        <v>316</v>
      </c>
      <c r="C121" s="75" t="s">
        <v>317</v>
      </c>
      <c r="D121" s="70"/>
      <c r="E121" s="2" t="s">
        <v>177</v>
      </c>
      <c r="F121" s="50">
        <v>6</v>
      </c>
      <c r="G121" s="50">
        <v>0</v>
      </c>
      <c r="H121" s="50">
        <f>ROUND(F121*AO121,2)</f>
        <v>0</v>
      </c>
      <c r="I121" s="50">
        <f>ROUND(F121*AP121,2)</f>
        <v>0</v>
      </c>
      <c r="J121" s="50">
        <f>ROUND(F121*G121,2)</f>
        <v>0</v>
      </c>
      <c r="K121" s="51" t="s">
        <v>118</v>
      </c>
      <c r="Z121" s="50">
        <f>ROUND(IF(AQ121="5",BJ121,0),2)</f>
        <v>0</v>
      </c>
      <c r="AB121" s="50">
        <f>ROUND(IF(AQ121="1",BH121,0),2)</f>
        <v>0</v>
      </c>
      <c r="AC121" s="50">
        <f>ROUND(IF(AQ121="1",BI121,0),2)</f>
        <v>0</v>
      </c>
      <c r="AD121" s="50">
        <f>ROUND(IF(AQ121="7",BH121,0),2)</f>
        <v>0</v>
      </c>
      <c r="AE121" s="50">
        <f>ROUND(IF(AQ121="7",BI121,0),2)</f>
        <v>0</v>
      </c>
      <c r="AF121" s="50">
        <f>ROUND(IF(AQ121="2",BH121,0),2)</f>
        <v>0</v>
      </c>
      <c r="AG121" s="50">
        <f>ROUND(IF(AQ121="2",BI121,0),2)</f>
        <v>0</v>
      </c>
      <c r="AH121" s="50">
        <f>ROUND(IF(AQ121="0",BJ121,0),2)</f>
        <v>0</v>
      </c>
      <c r="AI121" s="32" t="s">
        <v>4</v>
      </c>
      <c r="AJ121" s="50">
        <f>IF(AN121=0,J121,0)</f>
        <v>0</v>
      </c>
      <c r="AK121" s="50">
        <f>IF(AN121=12,J121,0)</f>
        <v>0</v>
      </c>
      <c r="AL121" s="50">
        <f>IF(AN121=21,J121,0)</f>
        <v>0</v>
      </c>
      <c r="AN121" s="50">
        <v>21</v>
      </c>
      <c r="AO121" s="50">
        <f>G121*0.104623377</f>
        <v>0</v>
      </c>
      <c r="AP121" s="50">
        <f>G121*(1-0.104623377)</f>
        <v>0</v>
      </c>
      <c r="AQ121" s="52" t="s">
        <v>114</v>
      </c>
      <c r="AV121" s="50">
        <f>ROUND(AW121+AX121,2)</f>
        <v>0</v>
      </c>
      <c r="AW121" s="50">
        <f>ROUND(F121*AO121,2)</f>
        <v>0</v>
      </c>
      <c r="AX121" s="50">
        <f>ROUND(F121*AP121,2)</f>
        <v>0</v>
      </c>
      <c r="AY121" s="52" t="s">
        <v>309</v>
      </c>
      <c r="AZ121" s="52" t="s">
        <v>310</v>
      </c>
      <c r="BA121" s="32" t="s">
        <v>121</v>
      </c>
      <c r="BC121" s="50">
        <f>AW121+AX121</f>
        <v>0</v>
      </c>
      <c r="BD121" s="50">
        <f>G121/(100-BE121)*100</f>
        <v>0</v>
      </c>
      <c r="BE121" s="50">
        <v>0</v>
      </c>
      <c r="BF121" s="50">
        <f>121</f>
        <v>121</v>
      </c>
      <c r="BH121" s="50">
        <f>F121*AO121</f>
        <v>0</v>
      </c>
      <c r="BI121" s="50">
        <f>F121*AP121</f>
        <v>0</v>
      </c>
      <c r="BJ121" s="50">
        <f>F121*G121</f>
        <v>0</v>
      </c>
      <c r="BK121" s="52" t="s">
        <v>122</v>
      </c>
      <c r="BL121" s="50">
        <v>59</v>
      </c>
      <c r="BW121" s="50">
        <v>21</v>
      </c>
      <c r="BX121" s="3" t="s">
        <v>317</v>
      </c>
    </row>
    <row r="122" spans="1:76" ht="14.4" x14ac:dyDescent="0.3">
      <c r="A122" s="53"/>
      <c r="C122" s="54" t="s">
        <v>146</v>
      </c>
      <c r="D122" s="54" t="s">
        <v>4</v>
      </c>
      <c r="F122" s="55">
        <v>6</v>
      </c>
      <c r="K122" s="56"/>
    </row>
    <row r="123" spans="1:76" ht="14.4" x14ac:dyDescent="0.3">
      <c r="A123" s="1" t="s">
        <v>270</v>
      </c>
      <c r="B123" s="2" t="s">
        <v>318</v>
      </c>
      <c r="C123" s="75" t="s">
        <v>319</v>
      </c>
      <c r="D123" s="70"/>
      <c r="E123" s="2" t="s">
        <v>177</v>
      </c>
      <c r="F123" s="50">
        <v>6</v>
      </c>
      <c r="G123" s="50">
        <v>0</v>
      </c>
      <c r="H123" s="50">
        <f>ROUND(F123*AO123,2)</f>
        <v>0</v>
      </c>
      <c r="I123" s="50">
        <f>ROUND(F123*AP123,2)</f>
        <v>0</v>
      </c>
      <c r="J123" s="50">
        <f>ROUND(F123*G123,2)</f>
        <v>0</v>
      </c>
      <c r="K123" s="51" t="s">
        <v>118</v>
      </c>
      <c r="Z123" s="50">
        <f>ROUND(IF(AQ123="5",BJ123,0),2)</f>
        <v>0</v>
      </c>
      <c r="AB123" s="50">
        <f>ROUND(IF(AQ123="1",BH123,0),2)</f>
        <v>0</v>
      </c>
      <c r="AC123" s="50">
        <f>ROUND(IF(AQ123="1",BI123,0),2)</f>
        <v>0</v>
      </c>
      <c r="AD123" s="50">
        <f>ROUND(IF(AQ123="7",BH123,0),2)</f>
        <v>0</v>
      </c>
      <c r="AE123" s="50">
        <f>ROUND(IF(AQ123="7",BI123,0),2)</f>
        <v>0</v>
      </c>
      <c r="AF123" s="50">
        <f>ROUND(IF(AQ123="2",BH123,0),2)</f>
        <v>0</v>
      </c>
      <c r="AG123" s="50">
        <f>ROUND(IF(AQ123="2",BI123,0),2)</f>
        <v>0</v>
      </c>
      <c r="AH123" s="50">
        <f>ROUND(IF(AQ123="0",BJ123,0),2)</f>
        <v>0</v>
      </c>
      <c r="AI123" s="32" t="s">
        <v>4</v>
      </c>
      <c r="AJ123" s="50">
        <f>IF(AN123=0,J123,0)</f>
        <v>0</v>
      </c>
      <c r="AK123" s="50">
        <f>IF(AN123=12,J123,0)</f>
        <v>0</v>
      </c>
      <c r="AL123" s="50">
        <f>IF(AN123=21,J123,0)</f>
        <v>0</v>
      </c>
      <c r="AN123" s="50">
        <v>21</v>
      </c>
      <c r="AO123" s="50">
        <f>G123*1</f>
        <v>0</v>
      </c>
      <c r="AP123" s="50">
        <f>G123*(1-1)</f>
        <v>0</v>
      </c>
      <c r="AQ123" s="52" t="s">
        <v>114</v>
      </c>
      <c r="AV123" s="50">
        <f>ROUND(AW123+AX123,2)</f>
        <v>0</v>
      </c>
      <c r="AW123" s="50">
        <f>ROUND(F123*AO123,2)</f>
        <v>0</v>
      </c>
      <c r="AX123" s="50">
        <f>ROUND(F123*AP123,2)</f>
        <v>0</v>
      </c>
      <c r="AY123" s="52" t="s">
        <v>309</v>
      </c>
      <c r="AZ123" s="52" t="s">
        <v>310</v>
      </c>
      <c r="BA123" s="32" t="s">
        <v>121</v>
      </c>
      <c r="BC123" s="50">
        <f>AW123+AX123</f>
        <v>0</v>
      </c>
      <c r="BD123" s="50">
        <f>G123/(100-BE123)*100</f>
        <v>0</v>
      </c>
      <c r="BE123" s="50">
        <v>0</v>
      </c>
      <c r="BF123" s="50">
        <f>123</f>
        <v>123</v>
      </c>
      <c r="BH123" s="50">
        <f>F123*AO123</f>
        <v>0</v>
      </c>
      <c r="BI123" s="50">
        <f>F123*AP123</f>
        <v>0</v>
      </c>
      <c r="BJ123" s="50">
        <f>F123*G123</f>
        <v>0</v>
      </c>
      <c r="BK123" s="52" t="s">
        <v>183</v>
      </c>
      <c r="BL123" s="50">
        <v>59</v>
      </c>
      <c r="BW123" s="50">
        <v>21</v>
      </c>
      <c r="BX123" s="3" t="s">
        <v>319</v>
      </c>
    </row>
    <row r="124" spans="1:76" ht="14.4" x14ac:dyDescent="0.3">
      <c r="A124" s="53"/>
      <c r="C124" s="54" t="s">
        <v>146</v>
      </c>
      <c r="D124" s="54" t="s">
        <v>4</v>
      </c>
      <c r="F124" s="55">
        <v>6</v>
      </c>
      <c r="K124" s="56"/>
    </row>
    <row r="125" spans="1:76" ht="14.4" x14ac:dyDescent="0.3">
      <c r="A125" s="1" t="s">
        <v>320</v>
      </c>
      <c r="B125" s="2" t="s">
        <v>321</v>
      </c>
      <c r="C125" s="75" t="s">
        <v>322</v>
      </c>
      <c r="D125" s="70"/>
      <c r="E125" s="2" t="s">
        <v>177</v>
      </c>
      <c r="F125" s="50">
        <v>0.5</v>
      </c>
      <c r="G125" s="50">
        <v>0</v>
      </c>
      <c r="H125" s="50">
        <f>ROUND(F125*AO125,2)</f>
        <v>0</v>
      </c>
      <c r="I125" s="50">
        <f>ROUND(F125*AP125,2)</f>
        <v>0</v>
      </c>
      <c r="J125" s="50">
        <f>ROUND(F125*G125,2)</f>
        <v>0</v>
      </c>
      <c r="K125" s="51" t="s">
        <v>118</v>
      </c>
      <c r="Z125" s="50">
        <f>ROUND(IF(AQ125="5",BJ125,0),2)</f>
        <v>0</v>
      </c>
      <c r="AB125" s="50">
        <f>ROUND(IF(AQ125="1",BH125,0),2)</f>
        <v>0</v>
      </c>
      <c r="AC125" s="50">
        <f>ROUND(IF(AQ125="1",BI125,0),2)</f>
        <v>0</v>
      </c>
      <c r="AD125" s="50">
        <f>ROUND(IF(AQ125="7",BH125,0),2)</f>
        <v>0</v>
      </c>
      <c r="AE125" s="50">
        <f>ROUND(IF(AQ125="7",BI125,0),2)</f>
        <v>0</v>
      </c>
      <c r="AF125" s="50">
        <f>ROUND(IF(AQ125="2",BH125,0),2)</f>
        <v>0</v>
      </c>
      <c r="AG125" s="50">
        <f>ROUND(IF(AQ125="2",BI125,0),2)</f>
        <v>0</v>
      </c>
      <c r="AH125" s="50">
        <f>ROUND(IF(AQ125="0",BJ125,0),2)</f>
        <v>0</v>
      </c>
      <c r="AI125" s="32" t="s">
        <v>4</v>
      </c>
      <c r="AJ125" s="50">
        <f>IF(AN125=0,J125,0)</f>
        <v>0</v>
      </c>
      <c r="AK125" s="50">
        <f>IF(AN125=12,J125,0)</f>
        <v>0</v>
      </c>
      <c r="AL125" s="50">
        <f>IF(AN125=21,J125,0)</f>
        <v>0</v>
      </c>
      <c r="AN125" s="50">
        <v>21</v>
      </c>
      <c r="AO125" s="50">
        <f>G125*0.148716578</f>
        <v>0</v>
      </c>
      <c r="AP125" s="50">
        <f>G125*(1-0.148716578)</f>
        <v>0</v>
      </c>
      <c r="AQ125" s="52" t="s">
        <v>114</v>
      </c>
      <c r="AV125" s="50">
        <f>ROUND(AW125+AX125,2)</f>
        <v>0</v>
      </c>
      <c r="AW125" s="50">
        <f>ROUND(F125*AO125,2)</f>
        <v>0</v>
      </c>
      <c r="AX125" s="50">
        <f>ROUND(F125*AP125,2)</f>
        <v>0</v>
      </c>
      <c r="AY125" s="52" t="s">
        <v>309</v>
      </c>
      <c r="AZ125" s="52" t="s">
        <v>310</v>
      </c>
      <c r="BA125" s="32" t="s">
        <v>121</v>
      </c>
      <c r="BC125" s="50">
        <f>AW125+AX125</f>
        <v>0</v>
      </c>
      <c r="BD125" s="50">
        <f>G125/(100-BE125)*100</f>
        <v>0</v>
      </c>
      <c r="BE125" s="50">
        <v>0</v>
      </c>
      <c r="BF125" s="50">
        <f>125</f>
        <v>125</v>
      </c>
      <c r="BH125" s="50">
        <f>F125*AO125</f>
        <v>0</v>
      </c>
      <c r="BI125" s="50">
        <f>F125*AP125</f>
        <v>0</v>
      </c>
      <c r="BJ125" s="50">
        <f>F125*G125</f>
        <v>0</v>
      </c>
      <c r="BK125" s="52" t="s">
        <v>122</v>
      </c>
      <c r="BL125" s="50">
        <v>59</v>
      </c>
      <c r="BW125" s="50">
        <v>21</v>
      </c>
      <c r="BX125" s="3" t="s">
        <v>322</v>
      </c>
    </row>
    <row r="126" spans="1:76" ht="14.4" x14ac:dyDescent="0.3">
      <c r="A126" s="53"/>
      <c r="C126" s="54" t="s">
        <v>323</v>
      </c>
      <c r="D126" s="54" t="s">
        <v>4</v>
      </c>
      <c r="F126" s="55">
        <v>0.5</v>
      </c>
      <c r="K126" s="56"/>
    </row>
    <row r="127" spans="1:76" ht="14.4" x14ac:dyDescent="0.3">
      <c r="A127" s="1" t="s">
        <v>324</v>
      </c>
      <c r="B127" s="2" t="s">
        <v>325</v>
      </c>
      <c r="C127" s="75" t="s">
        <v>326</v>
      </c>
      <c r="D127" s="70"/>
      <c r="E127" s="2" t="s">
        <v>177</v>
      </c>
      <c r="F127" s="50">
        <v>0.5</v>
      </c>
      <c r="G127" s="50">
        <v>0</v>
      </c>
      <c r="H127" s="50">
        <f>ROUND(F127*AO127,2)</f>
        <v>0</v>
      </c>
      <c r="I127" s="50">
        <f>ROUND(F127*AP127,2)</f>
        <v>0</v>
      </c>
      <c r="J127" s="50">
        <f>ROUND(F127*G127,2)</f>
        <v>0</v>
      </c>
      <c r="K127" s="51" t="s">
        <v>118</v>
      </c>
      <c r="Z127" s="50">
        <f>ROUND(IF(AQ127="5",BJ127,0),2)</f>
        <v>0</v>
      </c>
      <c r="AB127" s="50">
        <f>ROUND(IF(AQ127="1",BH127,0),2)</f>
        <v>0</v>
      </c>
      <c r="AC127" s="50">
        <f>ROUND(IF(AQ127="1",BI127,0),2)</f>
        <v>0</v>
      </c>
      <c r="AD127" s="50">
        <f>ROUND(IF(AQ127="7",BH127,0),2)</f>
        <v>0</v>
      </c>
      <c r="AE127" s="50">
        <f>ROUND(IF(AQ127="7",BI127,0),2)</f>
        <v>0</v>
      </c>
      <c r="AF127" s="50">
        <f>ROUND(IF(AQ127="2",BH127,0),2)</f>
        <v>0</v>
      </c>
      <c r="AG127" s="50">
        <f>ROUND(IF(AQ127="2",BI127,0),2)</f>
        <v>0</v>
      </c>
      <c r="AH127" s="50">
        <f>ROUND(IF(AQ127="0",BJ127,0),2)</f>
        <v>0</v>
      </c>
      <c r="AI127" s="32" t="s">
        <v>4</v>
      </c>
      <c r="AJ127" s="50">
        <f>IF(AN127=0,J127,0)</f>
        <v>0</v>
      </c>
      <c r="AK127" s="50">
        <f>IF(AN127=12,J127,0)</f>
        <v>0</v>
      </c>
      <c r="AL127" s="50">
        <f>IF(AN127=21,J127,0)</f>
        <v>0</v>
      </c>
      <c r="AN127" s="50">
        <v>21</v>
      </c>
      <c r="AO127" s="50">
        <f>G127*1</f>
        <v>0</v>
      </c>
      <c r="AP127" s="50">
        <f>G127*(1-1)</f>
        <v>0</v>
      </c>
      <c r="AQ127" s="52" t="s">
        <v>114</v>
      </c>
      <c r="AV127" s="50">
        <f>ROUND(AW127+AX127,2)</f>
        <v>0</v>
      </c>
      <c r="AW127" s="50">
        <f>ROUND(F127*AO127,2)</f>
        <v>0</v>
      </c>
      <c r="AX127" s="50">
        <f>ROUND(F127*AP127,2)</f>
        <v>0</v>
      </c>
      <c r="AY127" s="52" t="s">
        <v>309</v>
      </c>
      <c r="AZ127" s="52" t="s">
        <v>310</v>
      </c>
      <c r="BA127" s="32" t="s">
        <v>121</v>
      </c>
      <c r="BC127" s="50">
        <f>AW127+AX127</f>
        <v>0</v>
      </c>
      <c r="BD127" s="50">
        <f>G127/(100-BE127)*100</f>
        <v>0</v>
      </c>
      <c r="BE127" s="50">
        <v>0</v>
      </c>
      <c r="BF127" s="50">
        <f>127</f>
        <v>127</v>
      </c>
      <c r="BH127" s="50">
        <f>F127*AO127</f>
        <v>0</v>
      </c>
      <c r="BI127" s="50">
        <f>F127*AP127</f>
        <v>0</v>
      </c>
      <c r="BJ127" s="50">
        <f>F127*G127</f>
        <v>0</v>
      </c>
      <c r="BK127" s="52" t="s">
        <v>183</v>
      </c>
      <c r="BL127" s="50">
        <v>59</v>
      </c>
      <c r="BW127" s="50">
        <v>21</v>
      </c>
      <c r="BX127" s="3" t="s">
        <v>326</v>
      </c>
    </row>
    <row r="128" spans="1:76" ht="14.4" x14ac:dyDescent="0.3">
      <c r="A128" s="53"/>
      <c r="C128" s="54" t="s">
        <v>323</v>
      </c>
      <c r="D128" s="54" t="s">
        <v>4</v>
      </c>
      <c r="F128" s="55">
        <v>0.5</v>
      </c>
      <c r="K128" s="56"/>
    </row>
    <row r="129" spans="1:76" ht="14.4" x14ac:dyDescent="0.3">
      <c r="A129" s="46" t="s">
        <v>4</v>
      </c>
      <c r="B129" s="47" t="s">
        <v>327</v>
      </c>
      <c r="C129" s="148" t="s">
        <v>328</v>
      </c>
      <c r="D129" s="149"/>
      <c r="E129" s="48" t="s">
        <v>79</v>
      </c>
      <c r="F129" s="48" t="s">
        <v>79</v>
      </c>
      <c r="G129" s="48" t="s">
        <v>79</v>
      </c>
      <c r="H129" s="26">
        <f>ROUND(SUM(H130:H130),2)</f>
        <v>0</v>
      </c>
      <c r="I129" s="26">
        <f>ROUND(SUM(I130:I130),2)</f>
        <v>0</v>
      </c>
      <c r="J129" s="26">
        <f>ROUND(SUM(J130:J130),2)</f>
        <v>0</v>
      </c>
      <c r="K129" s="49" t="s">
        <v>4</v>
      </c>
      <c r="AI129" s="32" t="s">
        <v>4</v>
      </c>
      <c r="AS129" s="26">
        <f>SUM(AJ130:AJ130)</f>
        <v>0</v>
      </c>
      <c r="AT129" s="26">
        <f>SUM(AK130:AK130)</f>
        <v>0</v>
      </c>
      <c r="AU129" s="26">
        <f>SUM(AL130:AL130)</f>
        <v>0</v>
      </c>
    </row>
    <row r="130" spans="1:76" ht="14.4" x14ac:dyDescent="0.3">
      <c r="A130" s="1" t="s">
        <v>329</v>
      </c>
      <c r="B130" s="2" t="s">
        <v>330</v>
      </c>
      <c r="C130" s="75" t="s">
        <v>331</v>
      </c>
      <c r="D130" s="70"/>
      <c r="E130" s="2" t="s">
        <v>177</v>
      </c>
      <c r="F130" s="50">
        <v>71.342500000000001</v>
      </c>
      <c r="G130" s="50">
        <v>0</v>
      </c>
      <c r="H130" s="50">
        <f>ROUND(F130*AO130,2)</f>
        <v>0</v>
      </c>
      <c r="I130" s="50">
        <f>ROUND(F130*AP130,2)</f>
        <v>0</v>
      </c>
      <c r="J130" s="50">
        <f>ROUND(F130*G130,2)</f>
        <v>0</v>
      </c>
      <c r="K130" s="51" t="s">
        <v>253</v>
      </c>
      <c r="Z130" s="50">
        <f>ROUND(IF(AQ130="5",BJ130,0),2)</f>
        <v>0</v>
      </c>
      <c r="AB130" s="50">
        <f>ROUND(IF(AQ130="1",BH130,0),2)</f>
        <v>0</v>
      </c>
      <c r="AC130" s="50">
        <f>ROUND(IF(AQ130="1",BI130,0),2)</f>
        <v>0</v>
      </c>
      <c r="AD130" s="50">
        <f>ROUND(IF(AQ130="7",BH130,0),2)</f>
        <v>0</v>
      </c>
      <c r="AE130" s="50">
        <f>ROUND(IF(AQ130="7",BI130,0),2)</f>
        <v>0</v>
      </c>
      <c r="AF130" s="50">
        <f>ROUND(IF(AQ130="2",BH130,0),2)</f>
        <v>0</v>
      </c>
      <c r="AG130" s="50">
        <f>ROUND(IF(AQ130="2",BI130,0),2)</f>
        <v>0</v>
      </c>
      <c r="AH130" s="50">
        <f>ROUND(IF(AQ130="0",BJ130,0),2)</f>
        <v>0</v>
      </c>
      <c r="AI130" s="32" t="s">
        <v>4</v>
      </c>
      <c r="AJ130" s="50">
        <f>IF(AN130=0,J130,0)</f>
        <v>0</v>
      </c>
      <c r="AK130" s="50">
        <f>IF(AN130=12,J130,0)</f>
        <v>0</v>
      </c>
      <c r="AL130" s="50">
        <f>IF(AN130=21,J130,0)</f>
        <v>0</v>
      </c>
      <c r="AN130" s="50">
        <v>21</v>
      </c>
      <c r="AO130" s="50">
        <f>G130*0.600643607</f>
        <v>0</v>
      </c>
      <c r="AP130" s="50">
        <f>G130*(1-0.600643607)</f>
        <v>0</v>
      </c>
      <c r="AQ130" s="52" t="s">
        <v>114</v>
      </c>
      <c r="AV130" s="50">
        <f>ROUND(AW130+AX130,2)</f>
        <v>0</v>
      </c>
      <c r="AW130" s="50">
        <f>ROUND(F130*AO130,2)</f>
        <v>0</v>
      </c>
      <c r="AX130" s="50">
        <f>ROUND(F130*AP130,2)</f>
        <v>0</v>
      </c>
      <c r="AY130" s="52" t="s">
        <v>332</v>
      </c>
      <c r="AZ130" s="52" t="s">
        <v>333</v>
      </c>
      <c r="BA130" s="32" t="s">
        <v>121</v>
      </c>
      <c r="BC130" s="50">
        <f>AW130+AX130</f>
        <v>0</v>
      </c>
      <c r="BD130" s="50">
        <f>G130/(100-BE130)*100</f>
        <v>0</v>
      </c>
      <c r="BE130" s="50">
        <v>0</v>
      </c>
      <c r="BF130" s="50">
        <f>130</f>
        <v>130</v>
      </c>
      <c r="BH130" s="50">
        <f>F130*AO130</f>
        <v>0</v>
      </c>
      <c r="BI130" s="50">
        <f>F130*AP130</f>
        <v>0</v>
      </c>
      <c r="BJ130" s="50">
        <f>F130*G130</f>
        <v>0</v>
      </c>
      <c r="BK130" s="52" t="s">
        <v>122</v>
      </c>
      <c r="BL130" s="50">
        <v>60</v>
      </c>
      <c r="BW130" s="50">
        <v>21</v>
      </c>
      <c r="BX130" s="3" t="s">
        <v>331</v>
      </c>
    </row>
    <row r="131" spans="1:76" ht="13.5" customHeight="1" x14ac:dyDescent="0.3">
      <c r="A131" s="53"/>
      <c r="B131" s="57" t="s">
        <v>157</v>
      </c>
      <c r="C131" s="150" t="s">
        <v>334</v>
      </c>
      <c r="D131" s="151"/>
      <c r="E131" s="151"/>
      <c r="F131" s="151"/>
      <c r="G131" s="151"/>
      <c r="H131" s="151"/>
      <c r="I131" s="151"/>
      <c r="J131" s="151"/>
      <c r="K131" s="152"/>
    </row>
    <row r="132" spans="1:76" ht="14.4" x14ac:dyDescent="0.3">
      <c r="A132" s="53"/>
      <c r="C132" s="54" t="s">
        <v>335</v>
      </c>
      <c r="D132" s="54" t="s">
        <v>4</v>
      </c>
      <c r="F132" s="55">
        <v>63.89</v>
      </c>
      <c r="K132" s="56"/>
    </row>
    <row r="133" spans="1:76" ht="14.4" x14ac:dyDescent="0.3">
      <c r="A133" s="53"/>
      <c r="C133" s="54" t="s">
        <v>336</v>
      </c>
      <c r="D133" s="54" t="s">
        <v>337</v>
      </c>
      <c r="F133" s="55">
        <v>13.98</v>
      </c>
      <c r="K133" s="56"/>
    </row>
    <row r="134" spans="1:76" ht="14.4" x14ac:dyDescent="0.3">
      <c r="A134" s="53"/>
      <c r="C134" s="54" t="s">
        <v>229</v>
      </c>
      <c r="D134" s="54" t="s">
        <v>4</v>
      </c>
      <c r="F134" s="55">
        <v>-5.59</v>
      </c>
      <c r="K134" s="56"/>
    </row>
    <row r="135" spans="1:76" ht="14.4" x14ac:dyDescent="0.3">
      <c r="A135" s="53"/>
      <c r="C135" s="54" t="s">
        <v>231</v>
      </c>
      <c r="D135" s="54" t="s">
        <v>4</v>
      </c>
      <c r="F135" s="55">
        <v>-0.9375</v>
      </c>
      <c r="K135" s="56"/>
    </row>
    <row r="136" spans="1:76" ht="14.4" x14ac:dyDescent="0.3">
      <c r="A136" s="46" t="s">
        <v>4</v>
      </c>
      <c r="B136" s="47" t="s">
        <v>338</v>
      </c>
      <c r="C136" s="148" t="s">
        <v>339</v>
      </c>
      <c r="D136" s="149"/>
      <c r="E136" s="48" t="s">
        <v>79</v>
      </c>
      <c r="F136" s="48" t="s">
        <v>79</v>
      </c>
      <c r="G136" s="48" t="s">
        <v>79</v>
      </c>
      <c r="H136" s="26">
        <f>ROUND(SUM(H137:H142),2)</f>
        <v>0</v>
      </c>
      <c r="I136" s="26">
        <f>ROUND(SUM(I137:I142),2)</f>
        <v>0</v>
      </c>
      <c r="J136" s="26">
        <f>ROUND(SUM(J137:J142),2)</f>
        <v>0</v>
      </c>
      <c r="K136" s="49" t="s">
        <v>4</v>
      </c>
      <c r="AI136" s="32" t="s">
        <v>4</v>
      </c>
      <c r="AS136" s="26">
        <f>SUM(AJ137:AJ142)</f>
        <v>0</v>
      </c>
      <c r="AT136" s="26">
        <f>SUM(AK137:AK142)</f>
        <v>0</v>
      </c>
      <c r="AU136" s="26">
        <f>SUM(AL137:AL142)</f>
        <v>0</v>
      </c>
    </row>
    <row r="137" spans="1:76" ht="14.4" x14ac:dyDescent="0.3">
      <c r="A137" s="1" t="s">
        <v>340</v>
      </c>
      <c r="B137" s="2" t="s">
        <v>341</v>
      </c>
      <c r="C137" s="75" t="s">
        <v>342</v>
      </c>
      <c r="D137" s="70"/>
      <c r="E137" s="2" t="s">
        <v>177</v>
      </c>
      <c r="F137" s="50">
        <v>51.582500000000003</v>
      </c>
      <c r="G137" s="50">
        <v>0</v>
      </c>
      <c r="H137" s="50">
        <f>ROUND(F137*AO137,2)</f>
        <v>0</v>
      </c>
      <c r="I137" s="50">
        <f>ROUND(F137*AP137,2)</f>
        <v>0</v>
      </c>
      <c r="J137" s="50">
        <f>ROUND(F137*G137,2)</f>
        <v>0</v>
      </c>
      <c r="K137" s="51" t="s">
        <v>118</v>
      </c>
      <c r="Z137" s="50">
        <f>ROUND(IF(AQ137="5",BJ137,0),2)</f>
        <v>0</v>
      </c>
      <c r="AB137" s="50">
        <f>ROUND(IF(AQ137="1",BH137,0),2)</f>
        <v>0</v>
      </c>
      <c r="AC137" s="50">
        <f>ROUND(IF(AQ137="1",BI137,0),2)</f>
        <v>0</v>
      </c>
      <c r="AD137" s="50">
        <f>ROUND(IF(AQ137="7",BH137,0),2)</f>
        <v>0</v>
      </c>
      <c r="AE137" s="50">
        <f>ROUND(IF(AQ137="7",BI137,0),2)</f>
        <v>0</v>
      </c>
      <c r="AF137" s="50">
        <f>ROUND(IF(AQ137="2",BH137,0),2)</f>
        <v>0</v>
      </c>
      <c r="AG137" s="50">
        <f>ROUND(IF(AQ137="2",BI137,0),2)</f>
        <v>0</v>
      </c>
      <c r="AH137" s="50">
        <f>ROUND(IF(AQ137="0",BJ137,0),2)</f>
        <v>0</v>
      </c>
      <c r="AI137" s="32" t="s">
        <v>4</v>
      </c>
      <c r="AJ137" s="50">
        <f>IF(AN137=0,J137,0)</f>
        <v>0</v>
      </c>
      <c r="AK137" s="50">
        <f>IF(AN137=12,J137,0)</f>
        <v>0</v>
      </c>
      <c r="AL137" s="50">
        <f>IF(AN137=21,J137,0)</f>
        <v>0</v>
      </c>
      <c r="AN137" s="50">
        <v>21</v>
      </c>
      <c r="AO137" s="50">
        <f>G137*0.109146201</f>
        <v>0</v>
      </c>
      <c r="AP137" s="50">
        <f>G137*(1-0.109146201)</f>
        <v>0</v>
      </c>
      <c r="AQ137" s="52" t="s">
        <v>114</v>
      </c>
      <c r="AV137" s="50">
        <f>ROUND(AW137+AX137,2)</f>
        <v>0</v>
      </c>
      <c r="AW137" s="50">
        <f>ROUND(F137*AO137,2)</f>
        <v>0</v>
      </c>
      <c r="AX137" s="50">
        <f>ROUND(F137*AP137,2)</f>
        <v>0</v>
      </c>
      <c r="AY137" s="52" t="s">
        <v>343</v>
      </c>
      <c r="AZ137" s="52" t="s">
        <v>333</v>
      </c>
      <c r="BA137" s="32" t="s">
        <v>121</v>
      </c>
      <c r="BC137" s="50">
        <f>AW137+AX137</f>
        <v>0</v>
      </c>
      <c r="BD137" s="50">
        <f>G137/(100-BE137)*100</f>
        <v>0</v>
      </c>
      <c r="BE137" s="50">
        <v>0</v>
      </c>
      <c r="BF137" s="50">
        <f>137</f>
        <v>137</v>
      </c>
      <c r="BH137" s="50">
        <f>F137*AO137</f>
        <v>0</v>
      </c>
      <c r="BI137" s="50">
        <f>F137*AP137</f>
        <v>0</v>
      </c>
      <c r="BJ137" s="50">
        <f>F137*G137</f>
        <v>0</v>
      </c>
      <c r="BK137" s="52" t="s">
        <v>122</v>
      </c>
      <c r="BL137" s="50">
        <v>61</v>
      </c>
      <c r="BW137" s="50">
        <v>21</v>
      </c>
      <c r="BX137" s="3" t="s">
        <v>342</v>
      </c>
    </row>
    <row r="138" spans="1:76" ht="14.4" x14ac:dyDescent="0.3">
      <c r="A138" s="53"/>
      <c r="C138" s="54" t="s">
        <v>344</v>
      </c>
      <c r="D138" s="54" t="s">
        <v>4</v>
      </c>
      <c r="F138" s="55">
        <v>60</v>
      </c>
      <c r="K138" s="56"/>
    </row>
    <row r="139" spans="1:76" ht="14.4" x14ac:dyDescent="0.3">
      <c r="A139" s="53"/>
      <c r="C139" s="54" t="s">
        <v>229</v>
      </c>
      <c r="D139" s="54" t="s">
        <v>4</v>
      </c>
      <c r="F139" s="55">
        <v>-5.59</v>
      </c>
      <c r="K139" s="56"/>
    </row>
    <row r="140" spans="1:76" ht="14.4" x14ac:dyDescent="0.3">
      <c r="A140" s="53"/>
      <c r="C140" s="54" t="s">
        <v>231</v>
      </c>
      <c r="D140" s="54" t="s">
        <v>4</v>
      </c>
      <c r="F140" s="55">
        <v>-0.9375</v>
      </c>
      <c r="K140" s="56"/>
    </row>
    <row r="141" spans="1:76" ht="14.4" x14ac:dyDescent="0.3">
      <c r="A141" s="53"/>
      <c r="C141" s="54" t="s">
        <v>345</v>
      </c>
      <c r="D141" s="54" t="s">
        <v>4</v>
      </c>
      <c r="F141" s="55">
        <v>-1.89</v>
      </c>
      <c r="K141" s="56"/>
    </row>
    <row r="142" spans="1:76" ht="14.4" x14ac:dyDescent="0.3">
      <c r="A142" s="1" t="s">
        <v>346</v>
      </c>
      <c r="B142" s="2" t="s">
        <v>347</v>
      </c>
      <c r="C142" s="75" t="s">
        <v>348</v>
      </c>
      <c r="D142" s="70"/>
      <c r="E142" s="2" t="s">
        <v>177</v>
      </c>
      <c r="F142" s="50">
        <v>1.1775</v>
      </c>
      <c r="G142" s="50">
        <v>0</v>
      </c>
      <c r="H142" s="50">
        <f>ROUND(F142*AO142,2)</f>
        <v>0</v>
      </c>
      <c r="I142" s="50">
        <f>ROUND(F142*AP142,2)</f>
        <v>0</v>
      </c>
      <c r="J142" s="50">
        <f>ROUND(F142*G142,2)</f>
        <v>0</v>
      </c>
      <c r="K142" s="51" t="s">
        <v>118</v>
      </c>
      <c r="Z142" s="50">
        <f>ROUND(IF(AQ142="5",BJ142,0),2)</f>
        <v>0</v>
      </c>
      <c r="AB142" s="50">
        <f>ROUND(IF(AQ142="1",BH142,0),2)</f>
        <v>0</v>
      </c>
      <c r="AC142" s="50">
        <f>ROUND(IF(AQ142="1",BI142,0),2)</f>
        <v>0</v>
      </c>
      <c r="AD142" s="50">
        <f>ROUND(IF(AQ142="7",BH142,0),2)</f>
        <v>0</v>
      </c>
      <c r="AE142" s="50">
        <f>ROUND(IF(AQ142="7",BI142,0),2)</f>
        <v>0</v>
      </c>
      <c r="AF142" s="50">
        <f>ROUND(IF(AQ142="2",BH142,0),2)</f>
        <v>0</v>
      </c>
      <c r="AG142" s="50">
        <f>ROUND(IF(AQ142="2",BI142,0),2)</f>
        <v>0</v>
      </c>
      <c r="AH142" s="50">
        <f>ROUND(IF(AQ142="0",BJ142,0),2)</f>
        <v>0</v>
      </c>
      <c r="AI142" s="32" t="s">
        <v>4</v>
      </c>
      <c r="AJ142" s="50">
        <f>IF(AN142=0,J142,0)</f>
        <v>0</v>
      </c>
      <c r="AK142" s="50">
        <f>IF(AN142=12,J142,0)</f>
        <v>0</v>
      </c>
      <c r="AL142" s="50">
        <f>IF(AN142=21,J142,0)</f>
        <v>0</v>
      </c>
      <c r="AN142" s="50">
        <v>21</v>
      </c>
      <c r="AO142" s="50">
        <f>G142*0.138645659</f>
        <v>0</v>
      </c>
      <c r="AP142" s="50">
        <f>G142*(1-0.138645659)</f>
        <v>0</v>
      </c>
      <c r="AQ142" s="52" t="s">
        <v>114</v>
      </c>
      <c r="AV142" s="50">
        <f>ROUND(AW142+AX142,2)</f>
        <v>0</v>
      </c>
      <c r="AW142" s="50">
        <f>ROUND(F142*AO142,2)</f>
        <v>0</v>
      </c>
      <c r="AX142" s="50">
        <f>ROUND(F142*AP142,2)</f>
        <v>0</v>
      </c>
      <c r="AY142" s="52" t="s">
        <v>343</v>
      </c>
      <c r="AZ142" s="52" t="s">
        <v>333</v>
      </c>
      <c r="BA142" s="32" t="s">
        <v>121</v>
      </c>
      <c r="BC142" s="50">
        <f>AW142+AX142</f>
        <v>0</v>
      </c>
      <c r="BD142" s="50">
        <f>G142/(100-BE142)*100</f>
        <v>0</v>
      </c>
      <c r="BE142" s="50">
        <v>0</v>
      </c>
      <c r="BF142" s="50">
        <f>142</f>
        <v>142</v>
      </c>
      <c r="BH142" s="50">
        <f>F142*AO142</f>
        <v>0</v>
      </c>
      <c r="BI142" s="50">
        <f>F142*AP142</f>
        <v>0</v>
      </c>
      <c r="BJ142" s="50">
        <f>F142*G142</f>
        <v>0</v>
      </c>
      <c r="BK142" s="52" t="s">
        <v>122</v>
      </c>
      <c r="BL142" s="50">
        <v>61</v>
      </c>
      <c r="BW142" s="50">
        <v>21</v>
      </c>
      <c r="BX142" s="3" t="s">
        <v>348</v>
      </c>
    </row>
    <row r="143" spans="1:76" ht="14.4" x14ac:dyDescent="0.3">
      <c r="A143" s="53"/>
      <c r="C143" s="54" t="s">
        <v>349</v>
      </c>
      <c r="D143" s="54" t="s">
        <v>4</v>
      </c>
      <c r="F143" s="55">
        <v>0.41249999999999998</v>
      </c>
      <c r="K143" s="56"/>
    </row>
    <row r="144" spans="1:76" ht="14.4" x14ac:dyDescent="0.3">
      <c r="A144" s="53"/>
      <c r="C144" s="54" t="s">
        <v>350</v>
      </c>
      <c r="D144" s="54" t="s">
        <v>4</v>
      </c>
      <c r="F144" s="55">
        <v>0.76500000000000001</v>
      </c>
      <c r="K144" s="56"/>
    </row>
    <row r="145" spans="1:76" ht="14.4" x14ac:dyDescent="0.3">
      <c r="A145" s="46" t="s">
        <v>4</v>
      </c>
      <c r="B145" s="47" t="s">
        <v>351</v>
      </c>
      <c r="C145" s="148" t="s">
        <v>352</v>
      </c>
      <c r="D145" s="149"/>
      <c r="E145" s="48" t="s">
        <v>79</v>
      </c>
      <c r="F145" s="48" t="s">
        <v>79</v>
      </c>
      <c r="G145" s="48" t="s">
        <v>79</v>
      </c>
      <c r="H145" s="26">
        <f>ROUND(SUM(H146:H146),2)</f>
        <v>0</v>
      </c>
      <c r="I145" s="26">
        <f>ROUND(SUM(I146:I146),2)</f>
        <v>0</v>
      </c>
      <c r="J145" s="26">
        <f>ROUND(SUM(J146:J146),2)</f>
        <v>0</v>
      </c>
      <c r="K145" s="49" t="s">
        <v>4</v>
      </c>
      <c r="AI145" s="32" t="s">
        <v>4</v>
      </c>
      <c r="AS145" s="26">
        <f>SUM(AJ146:AJ146)</f>
        <v>0</v>
      </c>
      <c r="AT145" s="26">
        <f>SUM(AK146:AK146)</f>
        <v>0</v>
      </c>
      <c r="AU145" s="26">
        <f>SUM(AL146:AL146)</f>
        <v>0</v>
      </c>
    </row>
    <row r="146" spans="1:76" ht="14.4" x14ac:dyDescent="0.3">
      <c r="A146" s="1" t="s">
        <v>353</v>
      </c>
      <c r="B146" s="2" t="s">
        <v>354</v>
      </c>
      <c r="C146" s="75" t="s">
        <v>355</v>
      </c>
      <c r="D146" s="70"/>
      <c r="E146" s="2" t="s">
        <v>177</v>
      </c>
      <c r="F146" s="50">
        <v>71.342500000000001</v>
      </c>
      <c r="G146" s="50">
        <v>0</v>
      </c>
      <c r="H146" s="50">
        <f>ROUND(F146*AO146,2)</f>
        <v>0</v>
      </c>
      <c r="I146" s="50">
        <f>ROUND(F146*AP146,2)</f>
        <v>0</v>
      </c>
      <c r="J146" s="50">
        <f>ROUND(F146*G146,2)</f>
        <v>0</v>
      </c>
      <c r="K146" s="51" t="s">
        <v>253</v>
      </c>
      <c r="Z146" s="50">
        <f>ROUND(IF(AQ146="5",BJ146,0),2)</f>
        <v>0</v>
      </c>
      <c r="AB146" s="50">
        <f>ROUND(IF(AQ146="1",BH146,0),2)</f>
        <v>0</v>
      </c>
      <c r="AC146" s="50">
        <f>ROUND(IF(AQ146="1",BI146,0),2)</f>
        <v>0</v>
      </c>
      <c r="AD146" s="50">
        <f>ROUND(IF(AQ146="7",BH146,0),2)</f>
        <v>0</v>
      </c>
      <c r="AE146" s="50">
        <f>ROUND(IF(AQ146="7",BI146,0),2)</f>
        <v>0</v>
      </c>
      <c r="AF146" s="50">
        <f>ROUND(IF(AQ146="2",BH146,0),2)</f>
        <v>0</v>
      </c>
      <c r="AG146" s="50">
        <f>ROUND(IF(AQ146="2",BI146,0),2)</f>
        <v>0</v>
      </c>
      <c r="AH146" s="50">
        <f>ROUND(IF(AQ146="0",BJ146,0),2)</f>
        <v>0</v>
      </c>
      <c r="AI146" s="32" t="s">
        <v>4</v>
      </c>
      <c r="AJ146" s="50">
        <f>IF(AN146=0,J146,0)</f>
        <v>0</v>
      </c>
      <c r="AK146" s="50">
        <f>IF(AN146=12,J146,0)</f>
        <v>0</v>
      </c>
      <c r="AL146" s="50">
        <f>IF(AN146=21,J146,0)</f>
        <v>0</v>
      </c>
      <c r="AN146" s="50">
        <v>21</v>
      </c>
      <c r="AO146" s="50">
        <f>G146*0.106430412</f>
        <v>0</v>
      </c>
      <c r="AP146" s="50">
        <f>G146*(1-0.106430412)</f>
        <v>0</v>
      </c>
      <c r="AQ146" s="52" t="s">
        <v>114</v>
      </c>
      <c r="AV146" s="50">
        <f>ROUND(AW146+AX146,2)</f>
        <v>0</v>
      </c>
      <c r="AW146" s="50">
        <f>ROUND(F146*AO146,2)</f>
        <v>0</v>
      </c>
      <c r="AX146" s="50">
        <f>ROUND(F146*AP146,2)</f>
        <v>0</v>
      </c>
      <c r="AY146" s="52" t="s">
        <v>356</v>
      </c>
      <c r="AZ146" s="52" t="s">
        <v>333</v>
      </c>
      <c r="BA146" s="32" t="s">
        <v>121</v>
      </c>
      <c r="BC146" s="50">
        <f>AW146+AX146</f>
        <v>0</v>
      </c>
      <c r="BD146" s="50">
        <f>G146/(100-BE146)*100</f>
        <v>0</v>
      </c>
      <c r="BE146" s="50">
        <v>0</v>
      </c>
      <c r="BF146" s="50">
        <f>146</f>
        <v>146</v>
      </c>
      <c r="BH146" s="50">
        <f>F146*AO146</f>
        <v>0</v>
      </c>
      <c r="BI146" s="50">
        <f>F146*AP146</f>
        <v>0</v>
      </c>
      <c r="BJ146" s="50">
        <f>F146*G146</f>
        <v>0</v>
      </c>
      <c r="BK146" s="52" t="s">
        <v>122</v>
      </c>
      <c r="BL146" s="50">
        <v>62</v>
      </c>
      <c r="BW146" s="50">
        <v>21</v>
      </c>
      <c r="BX146" s="3" t="s">
        <v>355</v>
      </c>
    </row>
    <row r="147" spans="1:76" ht="14.4" x14ac:dyDescent="0.3">
      <c r="A147" s="53"/>
      <c r="C147" s="54" t="s">
        <v>335</v>
      </c>
      <c r="D147" s="54" t="s">
        <v>4</v>
      </c>
      <c r="F147" s="55">
        <v>63.89</v>
      </c>
      <c r="K147" s="56"/>
    </row>
    <row r="148" spans="1:76" ht="14.4" x14ac:dyDescent="0.3">
      <c r="A148" s="53"/>
      <c r="C148" s="54" t="s">
        <v>336</v>
      </c>
      <c r="D148" s="54" t="s">
        <v>337</v>
      </c>
      <c r="F148" s="55">
        <v>13.98</v>
      </c>
      <c r="K148" s="56"/>
    </row>
    <row r="149" spans="1:76" ht="14.4" x14ac:dyDescent="0.3">
      <c r="A149" s="53"/>
      <c r="C149" s="54" t="s">
        <v>229</v>
      </c>
      <c r="D149" s="54" t="s">
        <v>4</v>
      </c>
      <c r="F149" s="55">
        <v>-5.59</v>
      </c>
      <c r="K149" s="56"/>
    </row>
    <row r="150" spans="1:76" ht="14.4" x14ac:dyDescent="0.3">
      <c r="A150" s="53"/>
      <c r="C150" s="54" t="s">
        <v>231</v>
      </c>
      <c r="D150" s="54" t="s">
        <v>4</v>
      </c>
      <c r="F150" s="55">
        <v>-0.9375</v>
      </c>
      <c r="K150" s="56"/>
    </row>
    <row r="151" spans="1:76" ht="14.4" x14ac:dyDescent="0.3">
      <c r="A151" s="46" t="s">
        <v>4</v>
      </c>
      <c r="B151" s="47" t="s">
        <v>357</v>
      </c>
      <c r="C151" s="148" t="s">
        <v>358</v>
      </c>
      <c r="D151" s="149"/>
      <c r="E151" s="48" t="s">
        <v>79</v>
      </c>
      <c r="F151" s="48" t="s">
        <v>79</v>
      </c>
      <c r="G151" s="48" t="s">
        <v>79</v>
      </c>
      <c r="H151" s="26">
        <f>ROUND(SUM(H152:H154),2)</f>
        <v>0</v>
      </c>
      <c r="I151" s="26">
        <f>ROUND(SUM(I152:I154),2)</f>
        <v>0</v>
      </c>
      <c r="J151" s="26">
        <f>ROUND(SUM(J152:J154),2)</f>
        <v>0</v>
      </c>
      <c r="K151" s="49" t="s">
        <v>4</v>
      </c>
      <c r="AI151" s="32" t="s">
        <v>4</v>
      </c>
      <c r="AS151" s="26">
        <f>SUM(AJ152:AJ154)</f>
        <v>0</v>
      </c>
      <c r="AT151" s="26">
        <f>SUM(AK152:AK154)</f>
        <v>0</v>
      </c>
      <c r="AU151" s="26">
        <f>SUM(AL152:AL154)</f>
        <v>0</v>
      </c>
    </row>
    <row r="152" spans="1:76" ht="14.4" x14ac:dyDescent="0.3">
      <c r="A152" s="1" t="s">
        <v>359</v>
      </c>
      <c r="B152" s="2" t="s">
        <v>360</v>
      </c>
      <c r="C152" s="75" t="s">
        <v>361</v>
      </c>
      <c r="D152" s="70"/>
      <c r="E152" s="2" t="s">
        <v>177</v>
      </c>
      <c r="F152" s="50">
        <v>38.76</v>
      </c>
      <c r="G152" s="50">
        <v>0</v>
      </c>
      <c r="H152" s="50">
        <f>ROUND(F152*AO152,2)</f>
        <v>0</v>
      </c>
      <c r="I152" s="50">
        <f>ROUND(F152*AP152,2)</f>
        <v>0</v>
      </c>
      <c r="J152" s="50">
        <f>ROUND(F152*G152,2)</f>
        <v>0</v>
      </c>
      <c r="K152" s="51" t="s">
        <v>118</v>
      </c>
      <c r="Z152" s="50">
        <f>ROUND(IF(AQ152="5",BJ152,0),2)</f>
        <v>0</v>
      </c>
      <c r="AB152" s="50">
        <f>ROUND(IF(AQ152="1",BH152,0),2)</f>
        <v>0</v>
      </c>
      <c r="AC152" s="50">
        <f>ROUND(IF(AQ152="1",BI152,0),2)</f>
        <v>0</v>
      </c>
      <c r="AD152" s="50">
        <f>ROUND(IF(AQ152="7",BH152,0),2)</f>
        <v>0</v>
      </c>
      <c r="AE152" s="50">
        <f>ROUND(IF(AQ152="7",BI152,0),2)</f>
        <v>0</v>
      </c>
      <c r="AF152" s="50">
        <f>ROUND(IF(AQ152="2",BH152,0),2)</f>
        <v>0</v>
      </c>
      <c r="AG152" s="50">
        <f>ROUND(IF(AQ152="2",BI152,0),2)</f>
        <v>0</v>
      </c>
      <c r="AH152" s="50">
        <f>ROUND(IF(AQ152="0",BJ152,0),2)</f>
        <v>0</v>
      </c>
      <c r="AI152" s="32" t="s">
        <v>4</v>
      </c>
      <c r="AJ152" s="50">
        <f>IF(AN152=0,J152,0)</f>
        <v>0</v>
      </c>
      <c r="AK152" s="50">
        <f>IF(AN152=12,J152,0)</f>
        <v>0</v>
      </c>
      <c r="AL152" s="50">
        <f>IF(AN152=21,J152,0)</f>
        <v>0</v>
      </c>
      <c r="AN152" s="50">
        <v>21</v>
      </c>
      <c r="AO152" s="50">
        <f>G152*0.834276287</f>
        <v>0</v>
      </c>
      <c r="AP152" s="50">
        <f>G152*(1-0.834276287)</f>
        <v>0</v>
      </c>
      <c r="AQ152" s="52" t="s">
        <v>114</v>
      </c>
      <c r="AV152" s="50">
        <f>ROUND(AW152+AX152,2)</f>
        <v>0</v>
      </c>
      <c r="AW152" s="50">
        <f>ROUND(F152*AO152,2)</f>
        <v>0</v>
      </c>
      <c r="AX152" s="50">
        <f>ROUND(F152*AP152,2)</f>
        <v>0</v>
      </c>
      <c r="AY152" s="52" t="s">
        <v>362</v>
      </c>
      <c r="AZ152" s="52" t="s">
        <v>333</v>
      </c>
      <c r="BA152" s="32" t="s">
        <v>121</v>
      </c>
      <c r="BC152" s="50">
        <f>AW152+AX152</f>
        <v>0</v>
      </c>
      <c r="BD152" s="50">
        <f>G152/(100-BE152)*100</f>
        <v>0</v>
      </c>
      <c r="BE152" s="50">
        <v>0</v>
      </c>
      <c r="BF152" s="50">
        <f>152</f>
        <v>152</v>
      </c>
      <c r="BH152" s="50">
        <f>F152*AO152</f>
        <v>0</v>
      </c>
      <c r="BI152" s="50">
        <f>F152*AP152</f>
        <v>0</v>
      </c>
      <c r="BJ152" s="50">
        <f>F152*G152</f>
        <v>0</v>
      </c>
      <c r="BK152" s="52" t="s">
        <v>122</v>
      </c>
      <c r="BL152" s="50">
        <v>63</v>
      </c>
      <c r="BW152" s="50">
        <v>21</v>
      </c>
      <c r="BX152" s="3" t="s">
        <v>361</v>
      </c>
    </row>
    <row r="153" spans="1:76" ht="14.4" x14ac:dyDescent="0.3">
      <c r="A153" s="53"/>
      <c r="C153" s="54" t="s">
        <v>298</v>
      </c>
      <c r="D153" s="54" t="s">
        <v>4</v>
      </c>
      <c r="F153" s="55">
        <v>38.76</v>
      </c>
      <c r="K153" s="56"/>
    </row>
    <row r="154" spans="1:76" ht="14.4" x14ac:dyDescent="0.3">
      <c r="A154" s="1" t="s">
        <v>363</v>
      </c>
      <c r="B154" s="2" t="s">
        <v>364</v>
      </c>
      <c r="C154" s="75" t="s">
        <v>365</v>
      </c>
      <c r="D154" s="70"/>
      <c r="E154" s="2" t="s">
        <v>177</v>
      </c>
      <c r="F154" s="50">
        <v>38.76</v>
      </c>
      <c r="G154" s="50">
        <v>0</v>
      </c>
      <c r="H154" s="50">
        <f>ROUND(F154*AO154,2)</f>
        <v>0</v>
      </c>
      <c r="I154" s="50">
        <f>ROUND(F154*AP154,2)</f>
        <v>0</v>
      </c>
      <c r="J154" s="50">
        <f>ROUND(F154*G154,2)</f>
        <v>0</v>
      </c>
      <c r="K154" s="51" t="s">
        <v>118</v>
      </c>
      <c r="Z154" s="50">
        <f>ROUND(IF(AQ154="5",BJ154,0),2)</f>
        <v>0</v>
      </c>
      <c r="AB154" s="50">
        <f>ROUND(IF(AQ154="1",BH154,0),2)</f>
        <v>0</v>
      </c>
      <c r="AC154" s="50">
        <f>ROUND(IF(AQ154="1",BI154,0),2)</f>
        <v>0</v>
      </c>
      <c r="AD154" s="50">
        <f>ROUND(IF(AQ154="7",BH154,0),2)</f>
        <v>0</v>
      </c>
      <c r="AE154" s="50">
        <f>ROUND(IF(AQ154="7",BI154,0),2)</f>
        <v>0</v>
      </c>
      <c r="AF154" s="50">
        <f>ROUND(IF(AQ154="2",BH154,0),2)</f>
        <v>0</v>
      </c>
      <c r="AG154" s="50">
        <f>ROUND(IF(AQ154="2",BI154,0),2)</f>
        <v>0</v>
      </c>
      <c r="AH154" s="50">
        <f>ROUND(IF(AQ154="0",BJ154,0),2)</f>
        <v>0</v>
      </c>
      <c r="AI154" s="32" t="s">
        <v>4</v>
      </c>
      <c r="AJ154" s="50">
        <f>IF(AN154=0,J154,0)</f>
        <v>0</v>
      </c>
      <c r="AK154" s="50">
        <f>IF(AN154=12,J154,0)</f>
        <v>0</v>
      </c>
      <c r="AL154" s="50">
        <f>IF(AN154=21,J154,0)</f>
        <v>0</v>
      </c>
      <c r="AN154" s="50">
        <v>21</v>
      </c>
      <c r="AO154" s="50">
        <f>G154*0.625484923</f>
        <v>0</v>
      </c>
      <c r="AP154" s="50">
        <f>G154*(1-0.625484923)</f>
        <v>0</v>
      </c>
      <c r="AQ154" s="52" t="s">
        <v>114</v>
      </c>
      <c r="AV154" s="50">
        <f>ROUND(AW154+AX154,2)</f>
        <v>0</v>
      </c>
      <c r="AW154" s="50">
        <f>ROUND(F154*AO154,2)</f>
        <v>0</v>
      </c>
      <c r="AX154" s="50">
        <f>ROUND(F154*AP154,2)</f>
        <v>0</v>
      </c>
      <c r="AY154" s="52" t="s">
        <v>362</v>
      </c>
      <c r="AZ154" s="52" t="s">
        <v>333</v>
      </c>
      <c r="BA154" s="32" t="s">
        <v>121</v>
      </c>
      <c r="BC154" s="50">
        <f>AW154+AX154</f>
        <v>0</v>
      </c>
      <c r="BD154" s="50">
        <f>G154/(100-BE154)*100</f>
        <v>0</v>
      </c>
      <c r="BE154" s="50">
        <v>0</v>
      </c>
      <c r="BF154" s="50">
        <f>154</f>
        <v>154</v>
      </c>
      <c r="BH154" s="50">
        <f>F154*AO154</f>
        <v>0</v>
      </c>
      <c r="BI154" s="50">
        <f>F154*AP154</f>
        <v>0</v>
      </c>
      <c r="BJ154" s="50">
        <f>F154*G154</f>
        <v>0</v>
      </c>
      <c r="BK154" s="52" t="s">
        <v>122</v>
      </c>
      <c r="BL154" s="50">
        <v>63</v>
      </c>
      <c r="BW154" s="50">
        <v>21</v>
      </c>
      <c r="BX154" s="3" t="s">
        <v>365</v>
      </c>
    </row>
    <row r="155" spans="1:76" ht="13.5" customHeight="1" x14ac:dyDescent="0.3">
      <c r="A155" s="53"/>
      <c r="B155" s="57" t="s">
        <v>157</v>
      </c>
      <c r="C155" s="150" t="s">
        <v>366</v>
      </c>
      <c r="D155" s="151"/>
      <c r="E155" s="151"/>
      <c r="F155" s="151"/>
      <c r="G155" s="151"/>
      <c r="H155" s="151"/>
      <c r="I155" s="151"/>
      <c r="J155" s="151"/>
      <c r="K155" s="152"/>
    </row>
    <row r="156" spans="1:76" ht="14.4" x14ac:dyDescent="0.3">
      <c r="A156" s="53"/>
      <c r="C156" s="54" t="s">
        <v>298</v>
      </c>
      <c r="D156" s="54" t="s">
        <v>4</v>
      </c>
      <c r="F156" s="55">
        <v>38.76</v>
      </c>
      <c r="K156" s="56"/>
    </row>
    <row r="157" spans="1:76" ht="14.4" x14ac:dyDescent="0.3">
      <c r="A157" s="46" t="s">
        <v>4</v>
      </c>
      <c r="B157" s="47" t="s">
        <v>367</v>
      </c>
      <c r="C157" s="148" t="s">
        <v>368</v>
      </c>
      <c r="D157" s="149"/>
      <c r="E157" s="48" t="s">
        <v>79</v>
      </c>
      <c r="F157" s="48" t="s">
        <v>79</v>
      </c>
      <c r="G157" s="48" t="s">
        <v>79</v>
      </c>
      <c r="H157" s="26">
        <f>ROUND(SUM(H158:H179),2)</f>
        <v>0</v>
      </c>
      <c r="I157" s="26">
        <f>ROUND(SUM(I158:I179),2)</f>
        <v>0</v>
      </c>
      <c r="J157" s="26">
        <f>ROUND(SUM(J158:J179),2)</f>
        <v>0</v>
      </c>
      <c r="K157" s="49" t="s">
        <v>4</v>
      </c>
      <c r="AI157" s="32" t="s">
        <v>4</v>
      </c>
      <c r="AS157" s="26">
        <f>SUM(AJ158:AJ179)</f>
        <v>0</v>
      </c>
      <c r="AT157" s="26">
        <f>SUM(AK158:AK179)</f>
        <v>0</v>
      </c>
      <c r="AU157" s="26">
        <f>SUM(AL158:AL179)</f>
        <v>0</v>
      </c>
    </row>
    <row r="158" spans="1:76" ht="14.4" x14ac:dyDescent="0.3">
      <c r="A158" s="1" t="s">
        <v>369</v>
      </c>
      <c r="B158" s="2" t="s">
        <v>370</v>
      </c>
      <c r="C158" s="75" t="s">
        <v>371</v>
      </c>
      <c r="D158" s="70"/>
      <c r="E158" s="2" t="s">
        <v>177</v>
      </c>
      <c r="F158" s="50">
        <v>46.62</v>
      </c>
      <c r="G158" s="50">
        <v>0</v>
      </c>
      <c r="H158" s="50">
        <f>ROUND(F158*AO158,2)</f>
        <v>0</v>
      </c>
      <c r="I158" s="50">
        <f>ROUND(F158*AP158,2)</f>
        <v>0</v>
      </c>
      <c r="J158" s="50">
        <f>ROUND(F158*G158,2)</f>
        <v>0</v>
      </c>
      <c r="K158" s="51" t="s">
        <v>118</v>
      </c>
      <c r="Z158" s="50">
        <f>ROUND(IF(AQ158="5",BJ158,0),2)</f>
        <v>0</v>
      </c>
      <c r="AB158" s="50">
        <f>ROUND(IF(AQ158="1",BH158,0),2)</f>
        <v>0</v>
      </c>
      <c r="AC158" s="50">
        <f>ROUND(IF(AQ158="1",BI158,0),2)</f>
        <v>0</v>
      </c>
      <c r="AD158" s="50">
        <f>ROUND(IF(AQ158="7",BH158,0),2)</f>
        <v>0</v>
      </c>
      <c r="AE158" s="50">
        <f>ROUND(IF(AQ158="7",BI158,0),2)</f>
        <v>0</v>
      </c>
      <c r="AF158" s="50">
        <f>ROUND(IF(AQ158="2",BH158,0),2)</f>
        <v>0</v>
      </c>
      <c r="AG158" s="50">
        <f>ROUND(IF(AQ158="2",BI158,0),2)</f>
        <v>0</v>
      </c>
      <c r="AH158" s="50">
        <f>ROUND(IF(AQ158="0",BJ158,0),2)</f>
        <v>0</v>
      </c>
      <c r="AI158" s="32" t="s">
        <v>4</v>
      </c>
      <c r="AJ158" s="50">
        <f>IF(AN158=0,J158,0)</f>
        <v>0</v>
      </c>
      <c r="AK158" s="50">
        <f>IF(AN158=12,J158,0)</f>
        <v>0</v>
      </c>
      <c r="AL158" s="50">
        <f>IF(AN158=21,J158,0)</f>
        <v>0</v>
      </c>
      <c r="AN158" s="50">
        <v>21</v>
      </c>
      <c r="AO158" s="50">
        <f>G158*0.718627954</f>
        <v>0</v>
      </c>
      <c r="AP158" s="50">
        <f>G158*(1-0.718627954)</f>
        <v>0</v>
      </c>
      <c r="AQ158" s="52" t="s">
        <v>153</v>
      </c>
      <c r="AV158" s="50">
        <f>ROUND(AW158+AX158,2)</f>
        <v>0</v>
      </c>
      <c r="AW158" s="50">
        <f>ROUND(F158*AO158,2)</f>
        <v>0</v>
      </c>
      <c r="AX158" s="50">
        <f>ROUND(F158*AP158,2)</f>
        <v>0</v>
      </c>
      <c r="AY158" s="52" t="s">
        <v>372</v>
      </c>
      <c r="AZ158" s="52" t="s">
        <v>373</v>
      </c>
      <c r="BA158" s="32" t="s">
        <v>121</v>
      </c>
      <c r="BC158" s="50">
        <f>AW158+AX158</f>
        <v>0</v>
      </c>
      <c r="BD158" s="50">
        <f>G158/(100-BE158)*100</f>
        <v>0</v>
      </c>
      <c r="BE158" s="50">
        <v>0</v>
      </c>
      <c r="BF158" s="50">
        <f>158</f>
        <v>158</v>
      </c>
      <c r="BH158" s="50">
        <f>F158*AO158</f>
        <v>0</v>
      </c>
      <c r="BI158" s="50">
        <f>F158*AP158</f>
        <v>0</v>
      </c>
      <c r="BJ158" s="50">
        <f>F158*G158</f>
        <v>0</v>
      </c>
      <c r="BK158" s="52" t="s">
        <v>122</v>
      </c>
      <c r="BL158" s="50">
        <v>711</v>
      </c>
      <c r="BW158" s="50">
        <v>21</v>
      </c>
      <c r="BX158" s="3" t="s">
        <v>371</v>
      </c>
    </row>
    <row r="159" spans="1:76" ht="13.5" customHeight="1" x14ac:dyDescent="0.3">
      <c r="A159" s="53"/>
      <c r="B159" s="57" t="s">
        <v>157</v>
      </c>
      <c r="C159" s="150" t="s">
        <v>374</v>
      </c>
      <c r="D159" s="151"/>
      <c r="E159" s="151"/>
      <c r="F159" s="151"/>
      <c r="G159" s="151"/>
      <c r="H159" s="151"/>
      <c r="I159" s="151"/>
      <c r="J159" s="151"/>
      <c r="K159" s="152"/>
    </row>
    <row r="160" spans="1:76" ht="14.4" x14ac:dyDescent="0.3">
      <c r="A160" s="53"/>
      <c r="C160" s="54" t="s">
        <v>375</v>
      </c>
      <c r="D160" s="54" t="s">
        <v>4</v>
      </c>
      <c r="F160" s="55">
        <v>46.62</v>
      </c>
      <c r="K160" s="56"/>
    </row>
    <row r="161" spans="1:76" ht="14.4" x14ac:dyDescent="0.3">
      <c r="A161" s="1" t="s">
        <v>376</v>
      </c>
      <c r="B161" s="2" t="s">
        <v>377</v>
      </c>
      <c r="C161" s="75" t="s">
        <v>378</v>
      </c>
      <c r="D161" s="70"/>
      <c r="E161" s="2" t="s">
        <v>177</v>
      </c>
      <c r="F161" s="50">
        <v>46.62</v>
      </c>
      <c r="G161" s="50">
        <v>0</v>
      </c>
      <c r="H161" s="50">
        <f>ROUND(F161*AO161,2)</f>
        <v>0</v>
      </c>
      <c r="I161" s="50">
        <f>ROUND(F161*AP161,2)</f>
        <v>0</v>
      </c>
      <c r="J161" s="50">
        <f>ROUND(F161*G161,2)</f>
        <v>0</v>
      </c>
      <c r="K161" s="51" t="s">
        <v>118</v>
      </c>
      <c r="Z161" s="50">
        <f>ROUND(IF(AQ161="5",BJ161,0),2)</f>
        <v>0</v>
      </c>
      <c r="AB161" s="50">
        <f>ROUND(IF(AQ161="1",BH161,0),2)</f>
        <v>0</v>
      </c>
      <c r="AC161" s="50">
        <f>ROUND(IF(AQ161="1",BI161,0),2)</f>
        <v>0</v>
      </c>
      <c r="AD161" s="50">
        <f>ROUND(IF(AQ161="7",BH161,0),2)</f>
        <v>0</v>
      </c>
      <c r="AE161" s="50">
        <f>ROUND(IF(AQ161="7",BI161,0),2)</f>
        <v>0</v>
      </c>
      <c r="AF161" s="50">
        <f>ROUND(IF(AQ161="2",BH161,0),2)</f>
        <v>0</v>
      </c>
      <c r="AG161" s="50">
        <f>ROUND(IF(AQ161="2",BI161,0),2)</f>
        <v>0</v>
      </c>
      <c r="AH161" s="50">
        <f>ROUND(IF(AQ161="0",BJ161,0),2)</f>
        <v>0</v>
      </c>
      <c r="AI161" s="32" t="s">
        <v>4</v>
      </c>
      <c r="AJ161" s="50">
        <f>IF(AN161=0,J161,0)</f>
        <v>0</v>
      </c>
      <c r="AK161" s="50">
        <f>IF(AN161=12,J161,0)</f>
        <v>0</v>
      </c>
      <c r="AL161" s="50">
        <f>IF(AN161=21,J161,0)</f>
        <v>0</v>
      </c>
      <c r="AN161" s="50">
        <v>21</v>
      </c>
      <c r="AO161" s="50">
        <f>G161*0.070883956</f>
        <v>0</v>
      </c>
      <c r="AP161" s="50">
        <f>G161*(1-0.070883956)</f>
        <v>0</v>
      </c>
      <c r="AQ161" s="52" t="s">
        <v>153</v>
      </c>
      <c r="AV161" s="50">
        <f>ROUND(AW161+AX161,2)</f>
        <v>0</v>
      </c>
      <c r="AW161" s="50">
        <f>ROUND(F161*AO161,2)</f>
        <v>0</v>
      </c>
      <c r="AX161" s="50">
        <f>ROUND(F161*AP161,2)</f>
        <v>0</v>
      </c>
      <c r="AY161" s="52" t="s">
        <v>372</v>
      </c>
      <c r="AZ161" s="52" t="s">
        <v>373</v>
      </c>
      <c r="BA161" s="32" t="s">
        <v>121</v>
      </c>
      <c r="BC161" s="50">
        <f>AW161+AX161</f>
        <v>0</v>
      </c>
      <c r="BD161" s="50">
        <f>G161/(100-BE161)*100</f>
        <v>0</v>
      </c>
      <c r="BE161" s="50">
        <v>0</v>
      </c>
      <c r="BF161" s="50">
        <f>161</f>
        <v>161</v>
      </c>
      <c r="BH161" s="50">
        <f>F161*AO161</f>
        <v>0</v>
      </c>
      <c r="BI161" s="50">
        <f>F161*AP161</f>
        <v>0</v>
      </c>
      <c r="BJ161" s="50">
        <f>F161*G161</f>
        <v>0</v>
      </c>
      <c r="BK161" s="52" t="s">
        <v>122</v>
      </c>
      <c r="BL161" s="50">
        <v>711</v>
      </c>
      <c r="BW161" s="50">
        <v>21</v>
      </c>
      <c r="BX161" s="3" t="s">
        <v>378</v>
      </c>
    </row>
    <row r="162" spans="1:76" ht="13.5" customHeight="1" x14ac:dyDescent="0.3">
      <c r="A162" s="53"/>
      <c r="B162" s="57" t="s">
        <v>157</v>
      </c>
      <c r="C162" s="150" t="s">
        <v>379</v>
      </c>
      <c r="D162" s="151"/>
      <c r="E162" s="151"/>
      <c r="F162" s="151"/>
      <c r="G162" s="151"/>
      <c r="H162" s="151"/>
      <c r="I162" s="151"/>
      <c r="J162" s="151"/>
      <c r="K162" s="152"/>
    </row>
    <row r="163" spans="1:76" ht="14.4" x14ac:dyDescent="0.3">
      <c r="A163" s="53"/>
      <c r="C163" s="54" t="s">
        <v>375</v>
      </c>
      <c r="D163" s="54" t="s">
        <v>4</v>
      </c>
      <c r="F163" s="55">
        <v>46.62</v>
      </c>
      <c r="K163" s="56"/>
    </row>
    <row r="164" spans="1:76" ht="14.4" x14ac:dyDescent="0.3">
      <c r="A164" s="1" t="s">
        <v>380</v>
      </c>
      <c r="B164" s="2" t="s">
        <v>381</v>
      </c>
      <c r="C164" s="75" t="s">
        <v>382</v>
      </c>
      <c r="D164" s="70"/>
      <c r="E164" s="2" t="s">
        <v>177</v>
      </c>
      <c r="F164" s="50">
        <v>48.951000000000001</v>
      </c>
      <c r="G164" s="50">
        <v>0</v>
      </c>
      <c r="H164" s="50">
        <f>ROUND(F164*AO164,2)</f>
        <v>0</v>
      </c>
      <c r="I164" s="50">
        <f>ROUND(F164*AP164,2)</f>
        <v>0</v>
      </c>
      <c r="J164" s="50">
        <f>ROUND(F164*G164,2)</f>
        <v>0</v>
      </c>
      <c r="K164" s="51" t="s">
        <v>118</v>
      </c>
      <c r="Z164" s="50">
        <f>ROUND(IF(AQ164="5",BJ164,0),2)</f>
        <v>0</v>
      </c>
      <c r="AB164" s="50">
        <f>ROUND(IF(AQ164="1",BH164,0),2)</f>
        <v>0</v>
      </c>
      <c r="AC164" s="50">
        <f>ROUND(IF(AQ164="1",BI164,0),2)</f>
        <v>0</v>
      </c>
      <c r="AD164" s="50">
        <f>ROUND(IF(AQ164="7",BH164,0),2)</f>
        <v>0</v>
      </c>
      <c r="AE164" s="50">
        <f>ROUND(IF(AQ164="7",BI164,0),2)</f>
        <v>0</v>
      </c>
      <c r="AF164" s="50">
        <f>ROUND(IF(AQ164="2",BH164,0),2)</f>
        <v>0</v>
      </c>
      <c r="AG164" s="50">
        <f>ROUND(IF(AQ164="2",BI164,0),2)</f>
        <v>0</v>
      </c>
      <c r="AH164" s="50">
        <f>ROUND(IF(AQ164="0",BJ164,0),2)</f>
        <v>0</v>
      </c>
      <c r="AI164" s="32" t="s">
        <v>4</v>
      </c>
      <c r="AJ164" s="50">
        <f>IF(AN164=0,J164,0)</f>
        <v>0</v>
      </c>
      <c r="AK164" s="50">
        <f>IF(AN164=12,J164,0)</f>
        <v>0</v>
      </c>
      <c r="AL164" s="50">
        <f>IF(AN164=21,J164,0)</f>
        <v>0</v>
      </c>
      <c r="AN164" s="50">
        <v>21</v>
      </c>
      <c r="AO164" s="50">
        <f>G164*1</f>
        <v>0</v>
      </c>
      <c r="AP164" s="50">
        <f>G164*(1-1)</f>
        <v>0</v>
      </c>
      <c r="AQ164" s="52" t="s">
        <v>153</v>
      </c>
      <c r="AV164" s="50">
        <f>ROUND(AW164+AX164,2)</f>
        <v>0</v>
      </c>
      <c r="AW164" s="50">
        <f>ROUND(F164*AO164,2)</f>
        <v>0</v>
      </c>
      <c r="AX164" s="50">
        <f>ROUND(F164*AP164,2)</f>
        <v>0</v>
      </c>
      <c r="AY164" s="52" t="s">
        <v>372</v>
      </c>
      <c r="AZ164" s="52" t="s">
        <v>373</v>
      </c>
      <c r="BA164" s="32" t="s">
        <v>121</v>
      </c>
      <c r="BC164" s="50">
        <f>AW164+AX164</f>
        <v>0</v>
      </c>
      <c r="BD164" s="50">
        <f>G164/(100-BE164)*100</f>
        <v>0</v>
      </c>
      <c r="BE164" s="50">
        <v>0</v>
      </c>
      <c r="BF164" s="50">
        <f>164</f>
        <v>164</v>
      </c>
      <c r="BH164" s="50">
        <f>F164*AO164</f>
        <v>0</v>
      </c>
      <c r="BI164" s="50">
        <f>F164*AP164</f>
        <v>0</v>
      </c>
      <c r="BJ164" s="50">
        <f>F164*G164</f>
        <v>0</v>
      </c>
      <c r="BK164" s="52" t="s">
        <v>183</v>
      </c>
      <c r="BL164" s="50">
        <v>711</v>
      </c>
      <c r="BW164" s="50">
        <v>21</v>
      </c>
      <c r="BX164" s="3" t="s">
        <v>382</v>
      </c>
    </row>
    <row r="165" spans="1:76" ht="14.4" x14ac:dyDescent="0.3">
      <c r="A165" s="53"/>
      <c r="C165" s="54" t="s">
        <v>375</v>
      </c>
      <c r="D165" s="54" t="s">
        <v>4</v>
      </c>
      <c r="F165" s="55">
        <v>46.62</v>
      </c>
      <c r="K165" s="56"/>
    </row>
    <row r="166" spans="1:76" ht="14.4" x14ac:dyDescent="0.3">
      <c r="A166" s="53"/>
      <c r="C166" s="54" t="s">
        <v>383</v>
      </c>
      <c r="D166" s="54" t="s">
        <v>4</v>
      </c>
      <c r="F166" s="55">
        <v>2.331</v>
      </c>
      <c r="K166" s="56"/>
    </row>
    <row r="167" spans="1:76" ht="14.4" x14ac:dyDescent="0.3">
      <c r="A167" s="1" t="s">
        <v>384</v>
      </c>
      <c r="B167" s="2" t="s">
        <v>385</v>
      </c>
      <c r="C167" s="75" t="s">
        <v>386</v>
      </c>
      <c r="D167" s="70"/>
      <c r="E167" s="2" t="s">
        <v>177</v>
      </c>
      <c r="F167" s="50">
        <v>48.951000000000001</v>
      </c>
      <c r="G167" s="50">
        <v>0</v>
      </c>
      <c r="H167" s="50">
        <f>ROUND(F167*AO167,2)</f>
        <v>0</v>
      </c>
      <c r="I167" s="50">
        <f>ROUND(F167*AP167,2)</f>
        <v>0</v>
      </c>
      <c r="J167" s="50">
        <f>ROUND(F167*G167,2)</f>
        <v>0</v>
      </c>
      <c r="K167" s="51" t="s">
        <v>118</v>
      </c>
      <c r="Z167" s="50">
        <f>ROUND(IF(AQ167="5",BJ167,0),2)</f>
        <v>0</v>
      </c>
      <c r="AB167" s="50">
        <f>ROUND(IF(AQ167="1",BH167,0),2)</f>
        <v>0</v>
      </c>
      <c r="AC167" s="50">
        <f>ROUND(IF(AQ167="1",BI167,0),2)</f>
        <v>0</v>
      </c>
      <c r="AD167" s="50">
        <f>ROUND(IF(AQ167="7",BH167,0),2)</f>
        <v>0</v>
      </c>
      <c r="AE167" s="50">
        <f>ROUND(IF(AQ167="7",BI167,0),2)</f>
        <v>0</v>
      </c>
      <c r="AF167" s="50">
        <f>ROUND(IF(AQ167="2",BH167,0),2)</f>
        <v>0</v>
      </c>
      <c r="AG167" s="50">
        <f>ROUND(IF(AQ167="2",BI167,0),2)</f>
        <v>0</v>
      </c>
      <c r="AH167" s="50">
        <f>ROUND(IF(AQ167="0",BJ167,0),2)</f>
        <v>0</v>
      </c>
      <c r="AI167" s="32" t="s">
        <v>4</v>
      </c>
      <c r="AJ167" s="50">
        <f>IF(AN167=0,J167,0)</f>
        <v>0</v>
      </c>
      <c r="AK167" s="50">
        <f>IF(AN167=12,J167,0)</f>
        <v>0</v>
      </c>
      <c r="AL167" s="50">
        <f>IF(AN167=21,J167,0)</f>
        <v>0</v>
      </c>
      <c r="AN167" s="50">
        <v>21</v>
      </c>
      <c r="AO167" s="50">
        <f>G167*1</f>
        <v>0</v>
      </c>
      <c r="AP167" s="50">
        <f>G167*(1-1)</f>
        <v>0</v>
      </c>
      <c r="AQ167" s="52" t="s">
        <v>153</v>
      </c>
      <c r="AV167" s="50">
        <f>ROUND(AW167+AX167,2)</f>
        <v>0</v>
      </c>
      <c r="AW167" s="50">
        <f>ROUND(F167*AO167,2)</f>
        <v>0</v>
      </c>
      <c r="AX167" s="50">
        <f>ROUND(F167*AP167,2)</f>
        <v>0</v>
      </c>
      <c r="AY167" s="52" t="s">
        <v>372</v>
      </c>
      <c r="AZ167" s="52" t="s">
        <v>373</v>
      </c>
      <c r="BA167" s="32" t="s">
        <v>121</v>
      </c>
      <c r="BC167" s="50">
        <f>AW167+AX167</f>
        <v>0</v>
      </c>
      <c r="BD167" s="50">
        <f>G167/(100-BE167)*100</f>
        <v>0</v>
      </c>
      <c r="BE167" s="50">
        <v>0</v>
      </c>
      <c r="BF167" s="50">
        <f>167</f>
        <v>167</v>
      </c>
      <c r="BH167" s="50">
        <f>F167*AO167</f>
        <v>0</v>
      </c>
      <c r="BI167" s="50">
        <f>F167*AP167</f>
        <v>0</v>
      </c>
      <c r="BJ167" s="50">
        <f>F167*G167</f>
        <v>0</v>
      </c>
      <c r="BK167" s="52" t="s">
        <v>183</v>
      </c>
      <c r="BL167" s="50">
        <v>711</v>
      </c>
      <c r="BW167" s="50">
        <v>21</v>
      </c>
      <c r="BX167" s="3" t="s">
        <v>386</v>
      </c>
    </row>
    <row r="168" spans="1:76" ht="14.4" x14ac:dyDescent="0.3">
      <c r="A168" s="53"/>
      <c r="C168" s="54" t="s">
        <v>387</v>
      </c>
      <c r="D168" s="54" t="s">
        <v>4</v>
      </c>
      <c r="F168" s="55">
        <v>46.62</v>
      </c>
      <c r="K168" s="56"/>
    </row>
    <row r="169" spans="1:76" ht="14.4" x14ac:dyDescent="0.3">
      <c r="A169" s="53"/>
      <c r="C169" s="54" t="s">
        <v>383</v>
      </c>
      <c r="D169" s="54" t="s">
        <v>4</v>
      </c>
      <c r="F169" s="55">
        <v>2.331</v>
      </c>
      <c r="K169" s="56"/>
    </row>
    <row r="170" spans="1:76" ht="14.4" x14ac:dyDescent="0.3">
      <c r="A170" s="1" t="s">
        <v>388</v>
      </c>
      <c r="B170" s="2" t="s">
        <v>389</v>
      </c>
      <c r="C170" s="75" t="s">
        <v>390</v>
      </c>
      <c r="D170" s="70"/>
      <c r="E170" s="2" t="s">
        <v>177</v>
      </c>
      <c r="F170" s="50">
        <v>20.045000000000002</v>
      </c>
      <c r="G170" s="50">
        <v>0</v>
      </c>
      <c r="H170" s="50">
        <f>ROUND(F170*AO170,2)</f>
        <v>0</v>
      </c>
      <c r="I170" s="50">
        <f>ROUND(F170*AP170,2)</f>
        <v>0</v>
      </c>
      <c r="J170" s="50">
        <f>ROUND(F170*G170,2)</f>
        <v>0</v>
      </c>
      <c r="K170" s="51" t="s">
        <v>118</v>
      </c>
      <c r="Z170" s="50">
        <f>ROUND(IF(AQ170="5",BJ170,0),2)</f>
        <v>0</v>
      </c>
      <c r="AB170" s="50">
        <f>ROUND(IF(AQ170="1",BH170,0),2)</f>
        <v>0</v>
      </c>
      <c r="AC170" s="50">
        <f>ROUND(IF(AQ170="1",BI170,0),2)</f>
        <v>0</v>
      </c>
      <c r="AD170" s="50">
        <f>ROUND(IF(AQ170="7",BH170,0),2)</f>
        <v>0</v>
      </c>
      <c r="AE170" s="50">
        <f>ROUND(IF(AQ170="7",BI170,0),2)</f>
        <v>0</v>
      </c>
      <c r="AF170" s="50">
        <f>ROUND(IF(AQ170="2",BH170,0),2)</f>
        <v>0</v>
      </c>
      <c r="AG170" s="50">
        <f>ROUND(IF(AQ170="2",BI170,0),2)</f>
        <v>0</v>
      </c>
      <c r="AH170" s="50">
        <f>ROUND(IF(AQ170="0",BJ170,0),2)</f>
        <v>0</v>
      </c>
      <c r="AI170" s="32" t="s">
        <v>4</v>
      </c>
      <c r="AJ170" s="50">
        <f>IF(AN170=0,J170,0)</f>
        <v>0</v>
      </c>
      <c r="AK170" s="50">
        <f>IF(AN170=12,J170,0)</f>
        <v>0</v>
      </c>
      <c r="AL170" s="50">
        <f>IF(AN170=21,J170,0)</f>
        <v>0</v>
      </c>
      <c r="AN170" s="50">
        <v>21</v>
      </c>
      <c r="AO170" s="50">
        <f>G170*0.694861463</f>
        <v>0</v>
      </c>
      <c r="AP170" s="50">
        <f>G170*(1-0.694861463)</f>
        <v>0</v>
      </c>
      <c r="AQ170" s="52" t="s">
        <v>153</v>
      </c>
      <c r="AV170" s="50">
        <f>ROUND(AW170+AX170,2)</f>
        <v>0</v>
      </c>
      <c r="AW170" s="50">
        <f>ROUND(F170*AO170,2)</f>
        <v>0</v>
      </c>
      <c r="AX170" s="50">
        <f>ROUND(F170*AP170,2)</f>
        <v>0</v>
      </c>
      <c r="AY170" s="52" t="s">
        <v>372</v>
      </c>
      <c r="AZ170" s="52" t="s">
        <v>373</v>
      </c>
      <c r="BA170" s="32" t="s">
        <v>121</v>
      </c>
      <c r="BC170" s="50">
        <f>AW170+AX170</f>
        <v>0</v>
      </c>
      <c r="BD170" s="50">
        <f>G170/(100-BE170)*100</f>
        <v>0</v>
      </c>
      <c r="BE170" s="50">
        <v>0</v>
      </c>
      <c r="BF170" s="50">
        <f>170</f>
        <v>170</v>
      </c>
      <c r="BH170" s="50">
        <f>F170*AO170</f>
        <v>0</v>
      </c>
      <c r="BI170" s="50">
        <f>F170*AP170</f>
        <v>0</v>
      </c>
      <c r="BJ170" s="50">
        <f>F170*G170</f>
        <v>0</v>
      </c>
      <c r="BK170" s="52" t="s">
        <v>122</v>
      </c>
      <c r="BL170" s="50">
        <v>711</v>
      </c>
      <c r="BW170" s="50">
        <v>21</v>
      </c>
      <c r="BX170" s="3" t="s">
        <v>390</v>
      </c>
    </row>
    <row r="171" spans="1:76" ht="13.5" customHeight="1" x14ac:dyDescent="0.3">
      <c r="A171" s="53"/>
      <c r="B171" s="57" t="s">
        <v>157</v>
      </c>
      <c r="C171" s="150" t="s">
        <v>391</v>
      </c>
      <c r="D171" s="151"/>
      <c r="E171" s="151"/>
      <c r="F171" s="151"/>
      <c r="G171" s="151"/>
      <c r="H171" s="151"/>
      <c r="I171" s="151"/>
      <c r="J171" s="151"/>
      <c r="K171" s="152"/>
    </row>
    <row r="172" spans="1:76" ht="14.4" x14ac:dyDescent="0.3">
      <c r="A172" s="53"/>
      <c r="C172" s="54" t="s">
        <v>392</v>
      </c>
      <c r="D172" s="54" t="s">
        <v>4</v>
      </c>
      <c r="F172" s="55">
        <v>20.045000000000002</v>
      </c>
      <c r="K172" s="56"/>
    </row>
    <row r="173" spans="1:76" ht="14.4" x14ac:dyDescent="0.3">
      <c r="A173" s="1" t="s">
        <v>393</v>
      </c>
      <c r="B173" s="2" t="s">
        <v>394</v>
      </c>
      <c r="C173" s="75" t="s">
        <v>395</v>
      </c>
      <c r="D173" s="70"/>
      <c r="E173" s="2" t="s">
        <v>177</v>
      </c>
      <c r="F173" s="50">
        <v>20.045000000000002</v>
      </c>
      <c r="G173" s="50">
        <v>0</v>
      </c>
      <c r="H173" s="50">
        <f>ROUND(F173*AO173,2)</f>
        <v>0</v>
      </c>
      <c r="I173" s="50">
        <f>ROUND(F173*AP173,2)</f>
        <v>0</v>
      </c>
      <c r="J173" s="50">
        <f>ROUND(F173*G173,2)</f>
        <v>0</v>
      </c>
      <c r="K173" s="51" t="s">
        <v>118</v>
      </c>
      <c r="Z173" s="50">
        <f>ROUND(IF(AQ173="5",BJ173,0),2)</f>
        <v>0</v>
      </c>
      <c r="AB173" s="50">
        <f>ROUND(IF(AQ173="1",BH173,0),2)</f>
        <v>0</v>
      </c>
      <c r="AC173" s="50">
        <f>ROUND(IF(AQ173="1",BI173,0),2)</f>
        <v>0</v>
      </c>
      <c r="AD173" s="50">
        <f>ROUND(IF(AQ173="7",BH173,0),2)</f>
        <v>0</v>
      </c>
      <c r="AE173" s="50">
        <f>ROUND(IF(AQ173="7",BI173,0),2)</f>
        <v>0</v>
      </c>
      <c r="AF173" s="50">
        <f>ROUND(IF(AQ173="2",BH173,0),2)</f>
        <v>0</v>
      </c>
      <c r="AG173" s="50">
        <f>ROUND(IF(AQ173="2",BI173,0),2)</f>
        <v>0</v>
      </c>
      <c r="AH173" s="50">
        <f>ROUND(IF(AQ173="0",BJ173,0),2)</f>
        <v>0</v>
      </c>
      <c r="AI173" s="32" t="s">
        <v>4</v>
      </c>
      <c r="AJ173" s="50">
        <f>IF(AN173=0,J173,0)</f>
        <v>0</v>
      </c>
      <c r="AK173" s="50">
        <f>IF(AN173=12,J173,0)</f>
        <v>0</v>
      </c>
      <c r="AL173" s="50">
        <f>IF(AN173=21,J173,0)</f>
        <v>0</v>
      </c>
      <c r="AN173" s="50">
        <v>21</v>
      </c>
      <c r="AO173" s="50">
        <f>G173*0.472928928</f>
        <v>0</v>
      </c>
      <c r="AP173" s="50">
        <f>G173*(1-0.472928928)</f>
        <v>0</v>
      </c>
      <c r="AQ173" s="52" t="s">
        <v>153</v>
      </c>
      <c r="AV173" s="50">
        <f>ROUND(AW173+AX173,2)</f>
        <v>0</v>
      </c>
      <c r="AW173" s="50">
        <f>ROUND(F173*AO173,2)</f>
        <v>0</v>
      </c>
      <c r="AX173" s="50">
        <f>ROUND(F173*AP173,2)</f>
        <v>0</v>
      </c>
      <c r="AY173" s="52" t="s">
        <v>372</v>
      </c>
      <c r="AZ173" s="52" t="s">
        <v>373</v>
      </c>
      <c r="BA173" s="32" t="s">
        <v>121</v>
      </c>
      <c r="BC173" s="50">
        <f>AW173+AX173</f>
        <v>0</v>
      </c>
      <c r="BD173" s="50">
        <f>G173/(100-BE173)*100</f>
        <v>0</v>
      </c>
      <c r="BE173" s="50">
        <v>0</v>
      </c>
      <c r="BF173" s="50">
        <f>173</f>
        <v>173</v>
      </c>
      <c r="BH173" s="50">
        <f>F173*AO173</f>
        <v>0</v>
      </c>
      <c r="BI173" s="50">
        <f>F173*AP173</f>
        <v>0</v>
      </c>
      <c r="BJ173" s="50">
        <f>F173*G173</f>
        <v>0</v>
      </c>
      <c r="BK173" s="52" t="s">
        <v>122</v>
      </c>
      <c r="BL173" s="50">
        <v>711</v>
      </c>
      <c r="BW173" s="50">
        <v>21</v>
      </c>
      <c r="BX173" s="3" t="s">
        <v>395</v>
      </c>
    </row>
    <row r="174" spans="1:76" ht="13.5" customHeight="1" x14ac:dyDescent="0.3">
      <c r="A174" s="53"/>
      <c r="B174" s="57" t="s">
        <v>157</v>
      </c>
      <c r="C174" s="150" t="s">
        <v>396</v>
      </c>
      <c r="D174" s="151"/>
      <c r="E174" s="151"/>
      <c r="F174" s="151"/>
      <c r="G174" s="151"/>
      <c r="H174" s="151"/>
      <c r="I174" s="151"/>
      <c r="J174" s="151"/>
      <c r="K174" s="152"/>
    </row>
    <row r="175" spans="1:76" ht="14.4" x14ac:dyDescent="0.3">
      <c r="A175" s="53"/>
      <c r="C175" s="54" t="s">
        <v>392</v>
      </c>
      <c r="D175" s="54" t="s">
        <v>4</v>
      </c>
      <c r="F175" s="55">
        <v>20.045000000000002</v>
      </c>
      <c r="K175" s="56"/>
    </row>
    <row r="176" spans="1:76" ht="14.4" x14ac:dyDescent="0.3">
      <c r="A176" s="1" t="s">
        <v>397</v>
      </c>
      <c r="B176" s="2" t="s">
        <v>398</v>
      </c>
      <c r="C176" s="75" t="s">
        <v>399</v>
      </c>
      <c r="D176" s="70"/>
      <c r="E176" s="2" t="s">
        <v>257</v>
      </c>
      <c r="F176" s="50">
        <v>21.1</v>
      </c>
      <c r="G176" s="50">
        <v>0</v>
      </c>
      <c r="H176" s="50">
        <f>ROUND(F176*AO176,2)</f>
        <v>0</v>
      </c>
      <c r="I176" s="50">
        <f>ROUND(F176*AP176,2)</f>
        <v>0</v>
      </c>
      <c r="J176" s="50">
        <f>ROUND(F176*G176,2)</f>
        <v>0</v>
      </c>
      <c r="K176" s="51" t="s">
        <v>118</v>
      </c>
      <c r="Z176" s="50">
        <f>ROUND(IF(AQ176="5",BJ176,0),2)</f>
        <v>0</v>
      </c>
      <c r="AB176" s="50">
        <f>ROUND(IF(AQ176="1",BH176,0),2)</f>
        <v>0</v>
      </c>
      <c r="AC176" s="50">
        <f>ROUND(IF(AQ176="1",BI176,0),2)</f>
        <v>0</v>
      </c>
      <c r="AD176" s="50">
        <f>ROUND(IF(AQ176="7",BH176,0),2)</f>
        <v>0</v>
      </c>
      <c r="AE176" s="50">
        <f>ROUND(IF(AQ176="7",BI176,0),2)</f>
        <v>0</v>
      </c>
      <c r="AF176" s="50">
        <f>ROUND(IF(AQ176="2",BH176,0),2)</f>
        <v>0</v>
      </c>
      <c r="AG176" s="50">
        <f>ROUND(IF(AQ176="2",BI176,0),2)</f>
        <v>0</v>
      </c>
      <c r="AH176" s="50">
        <f>ROUND(IF(AQ176="0",BJ176,0),2)</f>
        <v>0</v>
      </c>
      <c r="AI176" s="32" t="s">
        <v>4</v>
      </c>
      <c r="AJ176" s="50">
        <f>IF(AN176=0,J176,0)</f>
        <v>0</v>
      </c>
      <c r="AK176" s="50">
        <f>IF(AN176=12,J176,0)</f>
        <v>0</v>
      </c>
      <c r="AL176" s="50">
        <f>IF(AN176=21,J176,0)</f>
        <v>0</v>
      </c>
      <c r="AN176" s="50">
        <v>21</v>
      </c>
      <c r="AO176" s="50">
        <f>G176*0.690607811</f>
        <v>0</v>
      </c>
      <c r="AP176" s="50">
        <f>G176*(1-0.690607811)</f>
        <v>0</v>
      </c>
      <c r="AQ176" s="52" t="s">
        <v>153</v>
      </c>
      <c r="AV176" s="50">
        <f>ROUND(AW176+AX176,2)</f>
        <v>0</v>
      </c>
      <c r="AW176" s="50">
        <f>ROUND(F176*AO176,2)</f>
        <v>0</v>
      </c>
      <c r="AX176" s="50">
        <f>ROUND(F176*AP176,2)</f>
        <v>0</v>
      </c>
      <c r="AY176" s="52" t="s">
        <v>372</v>
      </c>
      <c r="AZ176" s="52" t="s">
        <v>373</v>
      </c>
      <c r="BA176" s="32" t="s">
        <v>121</v>
      </c>
      <c r="BC176" s="50">
        <f>AW176+AX176</f>
        <v>0</v>
      </c>
      <c r="BD176" s="50">
        <f>G176/(100-BE176)*100</f>
        <v>0</v>
      </c>
      <c r="BE176" s="50">
        <v>0</v>
      </c>
      <c r="BF176" s="50">
        <f>176</f>
        <v>176</v>
      </c>
      <c r="BH176" s="50">
        <f>F176*AO176</f>
        <v>0</v>
      </c>
      <c r="BI176" s="50">
        <f>F176*AP176</f>
        <v>0</v>
      </c>
      <c r="BJ176" s="50">
        <f>F176*G176</f>
        <v>0</v>
      </c>
      <c r="BK176" s="52" t="s">
        <v>122</v>
      </c>
      <c r="BL176" s="50">
        <v>711</v>
      </c>
      <c r="BW176" s="50">
        <v>21</v>
      </c>
      <c r="BX176" s="3" t="s">
        <v>399</v>
      </c>
    </row>
    <row r="177" spans="1:76" ht="13.5" customHeight="1" x14ac:dyDescent="0.3">
      <c r="A177" s="53"/>
      <c r="B177" s="57" t="s">
        <v>157</v>
      </c>
      <c r="C177" s="150" t="s">
        <v>400</v>
      </c>
      <c r="D177" s="151"/>
      <c r="E177" s="151"/>
      <c r="F177" s="151"/>
      <c r="G177" s="151"/>
      <c r="H177" s="151"/>
      <c r="I177" s="151"/>
      <c r="J177" s="151"/>
      <c r="K177" s="152"/>
    </row>
    <row r="178" spans="1:76" ht="14.4" x14ac:dyDescent="0.3">
      <c r="A178" s="53"/>
      <c r="C178" s="54" t="s">
        <v>401</v>
      </c>
      <c r="D178" s="54" t="s">
        <v>4</v>
      </c>
      <c r="F178" s="55">
        <v>21.1</v>
      </c>
      <c r="K178" s="56"/>
    </row>
    <row r="179" spans="1:76" ht="14.4" x14ac:dyDescent="0.3">
      <c r="A179" s="1" t="s">
        <v>402</v>
      </c>
      <c r="B179" s="2" t="s">
        <v>403</v>
      </c>
      <c r="C179" s="75" t="s">
        <v>404</v>
      </c>
      <c r="D179" s="70"/>
      <c r="E179" s="2" t="s">
        <v>219</v>
      </c>
      <c r="F179" s="50">
        <v>0.65800000000000003</v>
      </c>
      <c r="G179" s="50">
        <v>0</v>
      </c>
      <c r="H179" s="50">
        <f>ROUND(F179*AO179,2)</f>
        <v>0</v>
      </c>
      <c r="I179" s="50">
        <f>ROUND(F179*AP179,2)</f>
        <v>0</v>
      </c>
      <c r="J179" s="50">
        <f>ROUND(F179*G179,2)</f>
        <v>0</v>
      </c>
      <c r="K179" s="51" t="s">
        <v>118</v>
      </c>
      <c r="Z179" s="50">
        <f>ROUND(IF(AQ179="5",BJ179,0),2)</f>
        <v>0</v>
      </c>
      <c r="AB179" s="50">
        <f>ROUND(IF(AQ179="1",BH179,0),2)</f>
        <v>0</v>
      </c>
      <c r="AC179" s="50">
        <f>ROUND(IF(AQ179="1",BI179,0),2)</f>
        <v>0</v>
      </c>
      <c r="AD179" s="50">
        <f>ROUND(IF(AQ179="7",BH179,0),2)</f>
        <v>0</v>
      </c>
      <c r="AE179" s="50">
        <f>ROUND(IF(AQ179="7",BI179,0),2)</f>
        <v>0</v>
      </c>
      <c r="AF179" s="50">
        <f>ROUND(IF(AQ179="2",BH179,0),2)</f>
        <v>0</v>
      </c>
      <c r="AG179" s="50">
        <f>ROUND(IF(AQ179="2",BI179,0),2)</f>
        <v>0</v>
      </c>
      <c r="AH179" s="50">
        <f>ROUND(IF(AQ179="0",BJ179,0),2)</f>
        <v>0</v>
      </c>
      <c r="AI179" s="32" t="s">
        <v>4</v>
      </c>
      <c r="AJ179" s="50">
        <f>IF(AN179=0,J179,0)</f>
        <v>0</v>
      </c>
      <c r="AK179" s="50">
        <f>IF(AN179=12,J179,0)</f>
        <v>0</v>
      </c>
      <c r="AL179" s="50">
        <f>IF(AN179=21,J179,0)</f>
        <v>0</v>
      </c>
      <c r="AN179" s="50">
        <v>21</v>
      </c>
      <c r="AO179" s="50">
        <f>G179*0</f>
        <v>0</v>
      </c>
      <c r="AP179" s="50">
        <f>G179*(1-0)</f>
        <v>0</v>
      </c>
      <c r="AQ179" s="52" t="s">
        <v>139</v>
      </c>
      <c r="AV179" s="50">
        <f>ROUND(AW179+AX179,2)</f>
        <v>0</v>
      </c>
      <c r="AW179" s="50">
        <f>ROUND(F179*AO179,2)</f>
        <v>0</v>
      </c>
      <c r="AX179" s="50">
        <f>ROUND(F179*AP179,2)</f>
        <v>0</v>
      </c>
      <c r="AY179" s="52" t="s">
        <v>372</v>
      </c>
      <c r="AZ179" s="52" t="s">
        <v>373</v>
      </c>
      <c r="BA179" s="32" t="s">
        <v>121</v>
      </c>
      <c r="BC179" s="50">
        <f>AW179+AX179</f>
        <v>0</v>
      </c>
      <c r="BD179" s="50">
        <f>G179/(100-BE179)*100</f>
        <v>0</v>
      </c>
      <c r="BE179" s="50">
        <v>0</v>
      </c>
      <c r="BF179" s="50">
        <f>179</f>
        <v>179</v>
      </c>
      <c r="BH179" s="50">
        <f>F179*AO179</f>
        <v>0</v>
      </c>
      <c r="BI179" s="50">
        <f>F179*AP179</f>
        <v>0</v>
      </c>
      <c r="BJ179" s="50">
        <f>F179*G179</f>
        <v>0</v>
      </c>
      <c r="BK179" s="52" t="s">
        <v>122</v>
      </c>
      <c r="BL179" s="50">
        <v>711</v>
      </c>
      <c r="BW179" s="50">
        <v>21</v>
      </c>
      <c r="BX179" s="3" t="s">
        <v>404</v>
      </c>
    </row>
    <row r="180" spans="1:76" ht="14.4" x14ac:dyDescent="0.3">
      <c r="A180" s="46" t="s">
        <v>4</v>
      </c>
      <c r="B180" s="47" t="s">
        <v>405</v>
      </c>
      <c r="C180" s="148" t="s">
        <v>406</v>
      </c>
      <c r="D180" s="149"/>
      <c r="E180" s="48" t="s">
        <v>79</v>
      </c>
      <c r="F180" s="48" t="s">
        <v>79</v>
      </c>
      <c r="G180" s="48" t="s">
        <v>79</v>
      </c>
      <c r="H180" s="26">
        <f>ROUND(SUM(H181:H181),2)</f>
        <v>0</v>
      </c>
      <c r="I180" s="26">
        <f>ROUND(SUM(I181:I181),2)</f>
        <v>0</v>
      </c>
      <c r="J180" s="26">
        <f>ROUND(SUM(J181:J181),2)</f>
        <v>0</v>
      </c>
      <c r="K180" s="49" t="s">
        <v>4</v>
      </c>
      <c r="AI180" s="32" t="s">
        <v>4</v>
      </c>
      <c r="AS180" s="26">
        <f>SUM(AJ181:AJ181)</f>
        <v>0</v>
      </c>
      <c r="AT180" s="26">
        <f>SUM(AK181:AK181)</f>
        <v>0</v>
      </c>
      <c r="AU180" s="26">
        <f>SUM(AL181:AL181)</f>
        <v>0</v>
      </c>
    </row>
    <row r="181" spans="1:76" ht="14.4" x14ac:dyDescent="0.3">
      <c r="A181" s="1" t="s">
        <v>407</v>
      </c>
      <c r="B181" s="2" t="s">
        <v>408</v>
      </c>
      <c r="C181" s="75" t="s">
        <v>409</v>
      </c>
      <c r="D181" s="70"/>
      <c r="E181" s="2" t="s">
        <v>177</v>
      </c>
      <c r="F181" s="50">
        <v>56.8</v>
      </c>
      <c r="G181" s="50">
        <v>0</v>
      </c>
      <c r="H181" s="50">
        <f>ROUND(F181*AO181,2)</f>
        <v>0</v>
      </c>
      <c r="I181" s="50">
        <f>ROUND(F181*AP181,2)</f>
        <v>0</v>
      </c>
      <c r="J181" s="50">
        <f>ROUND(F181*G181,2)</f>
        <v>0</v>
      </c>
      <c r="K181" s="51" t="s">
        <v>253</v>
      </c>
      <c r="Z181" s="50">
        <f>ROUND(IF(AQ181="5",BJ181,0),2)</f>
        <v>0</v>
      </c>
      <c r="AB181" s="50">
        <f>ROUND(IF(AQ181="1",BH181,0),2)</f>
        <v>0</v>
      </c>
      <c r="AC181" s="50">
        <f>ROUND(IF(AQ181="1",BI181,0),2)</f>
        <v>0</v>
      </c>
      <c r="AD181" s="50">
        <f>ROUND(IF(AQ181="7",BH181,0),2)</f>
        <v>0</v>
      </c>
      <c r="AE181" s="50">
        <f>ROUND(IF(AQ181="7",BI181,0),2)</f>
        <v>0</v>
      </c>
      <c r="AF181" s="50">
        <f>ROUND(IF(AQ181="2",BH181,0),2)</f>
        <v>0</v>
      </c>
      <c r="AG181" s="50">
        <f>ROUND(IF(AQ181="2",BI181,0),2)</f>
        <v>0</v>
      </c>
      <c r="AH181" s="50">
        <f>ROUND(IF(AQ181="0",BJ181,0),2)</f>
        <v>0</v>
      </c>
      <c r="AI181" s="32" t="s">
        <v>4</v>
      </c>
      <c r="AJ181" s="50">
        <f>IF(AN181=0,J181,0)</f>
        <v>0</v>
      </c>
      <c r="AK181" s="50">
        <f>IF(AN181=12,J181,0)</f>
        <v>0</v>
      </c>
      <c r="AL181" s="50">
        <f>IF(AN181=21,J181,0)</f>
        <v>0</v>
      </c>
      <c r="AN181" s="50">
        <v>21</v>
      </c>
      <c r="AO181" s="50">
        <f>G181*0.221867046</f>
        <v>0</v>
      </c>
      <c r="AP181" s="50">
        <f>G181*(1-0.221867046)</f>
        <v>0</v>
      </c>
      <c r="AQ181" s="52" t="s">
        <v>153</v>
      </c>
      <c r="AV181" s="50">
        <f>ROUND(AW181+AX181,2)</f>
        <v>0</v>
      </c>
      <c r="AW181" s="50">
        <f>ROUND(F181*AO181,2)</f>
        <v>0</v>
      </c>
      <c r="AX181" s="50">
        <f>ROUND(F181*AP181,2)</f>
        <v>0</v>
      </c>
      <c r="AY181" s="52" t="s">
        <v>410</v>
      </c>
      <c r="AZ181" s="52" t="s">
        <v>373</v>
      </c>
      <c r="BA181" s="32" t="s">
        <v>121</v>
      </c>
      <c r="BC181" s="50">
        <f>AW181+AX181</f>
        <v>0</v>
      </c>
      <c r="BD181" s="50">
        <f>G181/(100-BE181)*100</f>
        <v>0</v>
      </c>
      <c r="BE181" s="50">
        <v>0</v>
      </c>
      <c r="BF181" s="50">
        <f>181</f>
        <v>181</v>
      </c>
      <c r="BH181" s="50">
        <f>F181*AO181</f>
        <v>0</v>
      </c>
      <c r="BI181" s="50">
        <f>F181*AP181</f>
        <v>0</v>
      </c>
      <c r="BJ181" s="50">
        <f>F181*G181</f>
        <v>0</v>
      </c>
      <c r="BK181" s="52" t="s">
        <v>122</v>
      </c>
      <c r="BL181" s="50">
        <v>713</v>
      </c>
      <c r="BW181" s="50">
        <v>21</v>
      </c>
      <c r="BX181" s="3" t="s">
        <v>409</v>
      </c>
    </row>
    <row r="182" spans="1:76" ht="13.5" customHeight="1" x14ac:dyDescent="0.3">
      <c r="A182" s="53"/>
      <c r="B182" s="57" t="s">
        <v>157</v>
      </c>
      <c r="C182" s="150" t="s">
        <v>411</v>
      </c>
      <c r="D182" s="151"/>
      <c r="E182" s="151"/>
      <c r="F182" s="151"/>
      <c r="G182" s="151"/>
      <c r="H182" s="151"/>
      <c r="I182" s="151"/>
      <c r="J182" s="151"/>
      <c r="K182" s="152"/>
    </row>
    <row r="183" spans="1:76" ht="14.4" x14ac:dyDescent="0.3">
      <c r="A183" s="53"/>
      <c r="C183" s="54" t="s">
        <v>266</v>
      </c>
      <c r="D183" s="54" t="s">
        <v>4</v>
      </c>
      <c r="F183" s="55">
        <v>56.8</v>
      </c>
      <c r="K183" s="56"/>
    </row>
    <row r="184" spans="1:76" ht="14.4" x14ac:dyDescent="0.3">
      <c r="A184" s="46" t="s">
        <v>4</v>
      </c>
      <c r="B184" s="47" t="s">
        <v>412</v>
      </c>
      <c r="C184" s="148" t="s">
        <v>413</v>
      </c>
      <c r="D184" s="149"/>
      <c r="E184" s="48" t="s">
        <v>79</v>
      </c>
      <c r="F184" s="48" t="s">
        <v>79</v>
      </c>
      <c r="G184" s="48" t="s">
        <v>79</v>
      </c>
      <c r="H184" s="26">
        <f>ROUND(SUM(H185:H188),2)</f>
        <v>0</v>
      </c>
      <c r="I184" s="26">
        <f>ROUND(SUM(I185:I188),2)</f>
        <v>0</v>
      </c>
      <c r="J184" s="26">
        <f>ROUND(SUM(J185:J188),2)</f>
        <v>0</v>
      </c>
      <c r="K184" s="49" t="s">
        <v>4</v>
      </c>
      <c r="AI184" s="32" t="s">
        <v>4</v>
      </c>
      <c r="AS184" s="26">
        <f>SUM(AJ185:AJ188)</f>
        <v>0</v>
      </c>
      <c r="AT184" s="26">
        <f>SUM(AK185:AK188)</f>
        <v>0</v>
      </c>
      <c r="AU184" s="26">
        <f>SUM(AL185:AL188)</f>
        <v>0</v>
      </c>
    </row>
    <row r="185" spans="1:76" ht="14.4" x14ac:dyDescent="0.3">
      <c r="A185" s="1" t="s">
        <v>304</v>
      </c>
      <c r="B185" s="2" t="s">
        <v>414</v>
      </c>
      <c r="C185" s="75" t="s">
        <v>415</v>
      </c>
      <c r="D185" s="70"/>
      <c r="E185" s="2" t="s">
        <v>242</v>
      </c>
      <c r="F185" s="50">
        <v>2</v>
      </c>
      <c r="G185" s="50">
        <v>0</v>
      </c>
      <c r="H185" s="50">
        <f>ROUND(F185*AO185,2)</f>
        <v>0</v>
      </c>
      <c r="I185" s="50">
        <f>ROUND(F185*AP185,2)</f>
        <v>0</v>
      </c>
      <c r="J185" s="50">
        <f>ROUND(F185*G185,2)</f>
        <v>0</v>
      </c>
      <c r="K185" s="51" t="s">
        <v>118</v>
      </c>
      <c r="Z185" s="50">
        <f>ROUND(IF(AQ185="5",BJ185,0),2)</f>
        <v>0</v>
      </c>
      <c r="AB185" s="50">
        <f>ROUND(IF(AQ185="1",BH185,0),2)</f>
        <v>0</v>
      </c>
      <c r="AC185" s="50">
        <f>ROUND(IF(AQ185="1",BI185,0),2)</f>
        <v>0</v>
      </c>
      <c r="AD185" s="50">
        <f>ROUND(IF(AQ185="7",BH185,0),2)</f>
        <v>0</v>
      </c>
      <c r="AE185" s="50">
        <f>ROUND(IF(AQ185="7",BI185,0),2)</f>
        <v>0</v>
      </c>
      <c r="AF185" s="50">
        <f>ROUND(IF(AQ185="2",BH185,0),2)</f>
        <v>0</v>
      </c>
      <c r="AG185" s="50">
        <f>ROUND(IF(AQ185="2",BI185,0),2)</f>
        <v>0</v>
      </c>
      <c r="AH185" s="50">
        <f>ROUND(IF(AQ185="0",BJ185,0),2)</f>
        <v>0</v>
      </c>
      <c r="AI185" s="32" t="s">
        <v>4</v>
      </c>
      <c r="AJ185" s="50">
        <f>IF(AN185=0,J185,0)</f>
        <v>0</v>
      </c>
      <c r="AK185" s="50">
        <f>IF(AN185=12,J185,0)</f>
        <v>0</v>
      </c>
      <c r="AL185" s="50">
        <f>IF(AN185=21,J185,0)</f>
        <v>0</v>
      </c>
      <c r="AN185" s="50">
        <v>21</v>
      </c>
      <c r="AO185" s="50">
        <f>G185*0.933286604</f>
        <v>0</v>
      </c>
      <c r="AP185" s="50">
        <f>G185*(1-0.933286604)</f>
        <v>0</v>
      </c>
      <c r="AQ185" s="52" t="s">
        <v>153</v>
      </c>
      <c r="AV185" s="50">
        <f>ROUND(AW185+AX185,2)</f>
        <v>0</v>
      </c>
      <c r="AW185" s="50">
        <f>ROUND(F185*AO185,2)</f>
        <v>0</v>
      </c>
      <c r="AX185" s="50">
        <f>ROUND(F185*AP185,2)</f>
        <v>0</v>
      </c>
      <c r="AY185" s="52" t="s">
        <v>416</v>
      </c>
      <c r="AZ185" s="52" t="s">
        <v>417</v>
      </c>
      <c r="BA185" s="32" t="s">
        <v>121</v>
      </c>
      <c r="BC185" s="50">
        <f>AW185+AX185</f>
        <v>0</v>
      </c>
      <c r="BD185" s="50">
        <f>G185/(100-BE185)*100</f>
        <v>0</v>
      </c>
      <c r="BE185" s="50">
        <v>0</v>
      </c>
      <c r="BF185" s="50">
        <f>185</f>
        <v>185</v>
      </c>
      <c r="BH185" s="50">
        <f>F185*AO185</f>
        <v>0</v>
      </c>
      <c r="BI185" s="50">
        <f>F185*AP185</f>
        <v>0</v>
      </c>
      <c r="BJ185" s="50">
        <f>F185*G185</f>
        <v>0</v>
      </c>
      <c r="BK185" s="52" t="s">
        <v>122</v>
      </c>
      <c r="BL185" s="50">
        <v>721</v>
      </c>
      <c r="BW185" s="50">
        <v>21</v>
      </c>
      <c r="BX185" s="3" t="s">
        <v>415</v>
      </c>
    </row>
    <row r="186" spans="1:76" ht="13.5" customHeight="1" x14ac:dyDescent="0.3">
      <c r="A186" s="53"/>
      <c r="B186" s="57" t="s">
        <v>157</v>
      </c>
      <c r="C186" s="150" t="s">
        <v>418</v>
      </c>
      <c r="D186" s="151"/>
      <c r="E186" s="151"/>
      <c r="F186" s="151"/>
      <c r="G186" s="151"/>
      <c r="H186" s="151"/>
      <c r="I186" s="151"/>
      <c r="J186" s="151"/>
      <c r="K186" s="152"/>
    </row>
    <row r="187" spans="1:76" ht="14.4" x14ac:dyDescent="0.3">
      <c r="A187" s="53"/>
      <c r="C187" s="54" t="s">
        <v>126</v>
      </c>
      <c r="D187" s="54" t="s">
        <v>4</v>
      </c>
      <c r="F187" s="55">
        <v>2</v>
      </c>
      <c r="K187" s="56"/>
    </row>
    <row r="188" spans="1:76" ht="14.4" x14ac:dyDescent="0.3">
      <c r="A188" s="1" t="s">
        <v>327</v>
      </c>
      <c r="B188" s="2" t="s">
        <v>419</v>
      </c>
      <c r="C188" s="75" t="s">
        <v>420</v>
      </c>
      <c r="D188" s="70"/>
      <c r="E188" s="2" t="s">
        <v>219</v>
      </c>
      <c r="F188" s="50">
        <v>0.1676</v>
      </c>
      <c r="G188" s="50">
        <v>0</v>
      </c>
      <c r="H188" s="50">
        <f>ROUND(F188*AO188,2)</f>
        <v>0</v>
      </c>
      <c r="I188" s="50">
        <f>ROUND(F188*AP188,2)</f>
        <v>0</v>
      </c>
      <c r="J188" s="50">
        <f>ROUND(F188*G188,2)</f>
        <v>0</v>
      </c>
      <c r="K188" s="51" t="s">
        <v>118</v>
      </c>
      <c r="Z188" s="50">
        <f>ROUND(IF(AQ188="5",BJ188,0),2)</f>
        <v>0</v>
      </c>
      <c r="AB188" s="50">
        <f>ROUND(IF(AQ188="1",BH188,0),2)</f>
        <v>0</v>
      </c>
      <c r="AC188" s="50">
        <f>ROUND(IF(AQ188="1",BI188,0),2)</f>
        <v>0</v>
      </c>
      <c r="AD188" s="50">
        <f>ROUND(IF(AQ188="7",BH188,0),2)</f>
        <v>0</v>
      </c>
      <c r="AE188" s="50">
        <f>ROUND(IF(AQ188="7",BI188,0),2)</f>
        <v>0</v>
      </c>
      <c r="AF188" s="50">
        <f>ROUND(IF(AQ188="2",BH188,0),2)</f>
        <v>0</v>
      </c>
      <c r="AG188" s="50">
        <f>ROUND(IF(AQ188="2",BI188,0),2)</f>
        <v>0</v>
      </c>
      <c r="AH188" s="50">
        <f>ROUND(IF(AQ188="0",BJ188,0),2)</f>
        <v>0</v>
      </c>
      <c r="AI188" s="32" t="s">
        <v>4</v>
      </c>
      <c r="AJ188" s="50">
        <f>IF(AN188=0,J188,0)</f>
        <v>0</v>
      </c>
      <c r="AK188" s="50">
        <f>IF(AN188=12,J188,0)</f>
        <v>0</v>
      </c>
      <c r="AL188" s="50">
        <f>IF(AN188=21,J188,0)</f>
        <v>0</v>
      </c>
      <c r="AN188" s="50">
        <v>21</v>
      </c>
      <c r="AO188" s="50">
        <f>G188*0</f>
        <v>0</v>
      </c>
      <c r="AP188" s="50">
        <f>G188*(1-0)</f>
        <v>0</v>
      </c>
      <c r="AQ188" s="52" t="s">
        <v>139</v>
      </c>
      <c r="AV188" s="50">
        <f>ROUND(AW188+AX188,2)</f>
        <v>0</v>
      </c>
      <c r="AW188" s="50">
        <f>ROUND(F188*AO188,2)</f>
        <v>0</v>
      </c>
      <c r="AX188" s="50">
        <f>ROUND(F188*AP188,2)</f>
        <v>0</v>
      </c>
      <c r="AY188" s="52" t="s">
        <v>416</v>
      </c>
      <c r="AZ188" s="52" t="s">
        <v>417</v>
      </c>
      <c r="BA188" s="32" t="s">
        <v>121</v>
      </c>
      <c r="BC188" s="50">
        <f>AW188+AX188</f>
        <v>0</v>
      </c>
      <c r="BD188" s="50">
        <f>G188/(100-BE188)*100</f>
        <v>0</v>
      </c>
      <c r="BE188" s="50">
        <v>0</v>
      </c>
      <c r="BF188" s="50">
        <f>188</f>
        <v>188</v>
      </c>
      <c r="BH188" s="50">
        <f>F188*AO188</f>
        <v>0</v>
      </c>
      <c r="BI188" s="50">
        <f>F188*AP188</f>
        <v>0</v>
      </c>
      <c r="BJ188" s="50">
        <f>F188*G188</f>
        <v>0</v>
      </c>
      <c r="BK188" s="52" t="s">
        <v>122</v>
      </c>
      <c r="BL188" s="50">
        <v>721</v>
      </c>
      <c r="BW188" s="50">
        <v>21</v>
      </c>
      <c r="BX188" s="3" t="s">
        <v>420</v>
      </c>
    </row>
    <row r="189" spans="1:76" ht="14.4" x14ac:dyDescent="0.3">
      <c r="A189" s="46" t="s">
        <v>4</v>
      </c>
      <c r="B189" s="47" t="s">
        <v>421</v>
      </c>
      <c r="C189" s="148" t="s">
        <v>422</v>
      </c>
      <c r="D189" s="149"/>
      <c r="E189" s="48" t="s">
        <v>79</v>
      </c>
      <c r="F189" s="48" t="s">
        <v>79</v>
      </c>
      <c r="G189" s="48" t="s">
        <v>79</v>
      </c>
      <c r="H189" s="26">
        <f>ROUND(SUM(H190:H207),2)</f>
        <v>0</v>
      </c>
      <c r="I189" s="26">
        <f>ROUND(SUM(I190:I207),2)</f>
        <v>0</v>
      </c>
      <c r="J189" s="26">
        <f>ROUND(SUM(J190:J207),2)</f>
        <v>0</v>
      </c>
      <c r="K189" s="49" t="s">
        <v>4</v>
      </c>
      <c r="AI189" s="32" t="s">
        <v>4</v>
      </c>
      <c r="AS189" s="26">
        <f>SUM(AJ190:AJ207)</f>
        <v>0</v>
      </c>
      <c r="AT189" s="26">
        <f>SUM(AK190:AK207)</f>
        <v>0</v>
      </c>
      <c r="AU189" s="26">
        <f>SUM(AL190:AL207)</f>
        <v>0</v>
      </c>
    </row>
    <row r="190" spans="1:76" ht="14.4" x14ac:dyDescent="0.3">
      <c r="A190" s="1" t="s">
        <v>338</v>
      </c>
      <c r="B190" s="2" t="s">
        <v>423</v>
      </c>
      <c r="C190" s="75" t="s">
        <v>424</v>
      </c>
      <c r="D190" s="70"/>
      <c r="E190" s="2" t="s">
        <v>177</v>
      </c>
      <c r="F190" s="50">
        <v>79.28</v>
      </c>
      <c r="G190" s="50">
        <v>0</v>
      </c>
      <c r="H190" s="50">
        <f>ROUND(F190*AO190,2)</f>
        <v>0</v>
      </c>
      <c r="I190" s="50">
        <f>ROUND(F190*AP190,2)</f>
        <v>0</v>
      </c>
      <c r="J190" s="50">
        <f>ROUND(F190*G190,2)</f>
        <v>0</v>
      </c>
      <c r="K190" s="51" t="s">
        <v>118</v>
      </c>
      <c r="Z190" s="50">
        <f>ROUND(IF(AQ190="5",BJ190,0),2)</f>
        <v>0</v>
      </c>
      <c r="AB190" s="50">
        <f>ROUND(IF(AQ190="1",BH190,0),2)</f>
        <v>0</v>
      </c>
      <c r="AC190" s="50">
        <f>ROUND(IF(AQ190="1",BI190,0),2)</f>
        <v>0</v>
      </c>
      <c r="AD190" s="50">
        <f>ROUND(IF(AQ190="7",BH190,0),2)</f>
        <v>0</v>
      </c>
      <c r="AE190" s="50">
        <f>ROUND(IF(AQ190="7",BI190,0),2)</f>
        <v>0</v>
      </c>
      <c r="AF190" s="50">
        <f>ROUND(IF(AQ190="2",BH190,0),2)</f>
        <v>0</v>
      </c>
      <c r="AG190" s="50">
        <f>ROUND(IF(AQ190="2",BI190,0),2)</f>
        <v>0</v>
      </c>
      <c r="AH190" s="50">
        <f>ROUND(IF(AQ190="0",BJ190,0),2)</f>
        <v>0</v>
      </c>
      <c r="AI190" s="32" t="s">
        <v>4</v>
      </c>
      <c r="AJ190" s="50">
        <f>IF(AN190=0,J190,0)</f>
        <v>0</v>
      </c>
      <c r="AK190" s="50">
        <f>IF(AN190=12,J190,0)</f>
        <v>0</v>
      </c>
      <c r="AL190" s="50">
        <f>IF(AN190=21,J190,0)</f>
        <v>0</v>
      </c>
      <c r="AN190" s="50">
        <v>21</v>
      </c>
      <c r="AO190" s="50">
        <f>G190*0</f>
        <v>0</v>
      </c>
      <c r="AP190" s="50">
        <f>G190*(1-0)</f>
        <v>0</v>
      </c>
      <c r="AQ190" s="52" t="s">
        <v>153</v>
      </c>
      <c r="AV190" s="50">
        <f>ROUND(AW190+AX190,2)</f>
        <v>0</v>
      </c>
      <c r="AW190" s="50">
        <f>ROUND(F190*AO190,2)</f>
        <v>0</v>
      </c>
      <c r="AX190" s="50">
        <f>ROUND(F190*AP190,2)</f>
        <v>0</v>
      </c>
      <c r="AY190" s="52" t="s">
        <v>425</v>
      </c>
      <c r="AZ190" s="52" t="s">
        <v>426</v>
      </c>
      <c r="BA190" s="32" t="s">
        <v>121</v>
      </c>
      <c r="BC190" s="50">
        <f>AW190+AX190</f>
        <v>0</v>
      </c>
      <c r="BD190" s="50">
        <f>G190/(100-BE190)*100</f>
        <v>0</v>
      </c>
      <c r="BE190" s="50">
        <v>0</v>
      </c>
      <c r="BF190" s="50">
        <f>190</f>
        <v>190</v>
      </c>
      <c r="BH190" s="50">
        <f>F190*AO190</f>
        <v>0</v>
      </c>
      <c r="BI190" s="50">
        <f>F190*AP190</f>
        <v>0</v>
      </c>
      <c r="BJ190" s="50">
        <f>F190*G190</f>
        <v>0</v>
      </c>
      <c r="BK190" s="52" t="s">
        <v>122</v>
      </c>
      <c r="BL190" s="50">
        <v>762</v>
      </c>
      <c r="BW190" s="50">
        <v>21</v>
      </c>
      <c r="BX190" s="3" t="s">
        <v>424</v>
      </c>
    </row>
    <row r="191" spans="1:76" ht="13.5" customHeight="1" x14ac:dyDescent="0.3">
      <c r="A191" s="53"/>
      <c r="B191" s="57" t="s">
        <v>157</v>
      </c>
      <c r="C191" s="150" t="s">
        <v>427</v>
      </c>
      <c r="D191" s="151"/>
      <c r="E191" s="151"/>
      <c r="F191" s="151"/>
      <c r="G191" s="151"/>
      <c r="H191" s="151"/>
      <c r="I191" s="151"/>
      <c r="J191" s="151"/>
      <c r="K191" s="152"/>
    </row>
    <row r="192" spans="1:76" ht="14.4" x14ac:dyDescent="0.3">
      <c r="A192" s="53"/>
      <c r="C192" s="54" t="s">
        <v>428</v>
      </c>
      <c r="D192" s="54" t="s">
        <v>4</v>
      </c>
      <c r="F192" s="55">
        <v>37.04</v>
      </c>
      <c r="K192" s="56"/>
    </row>
    <row r="193" spans="1:76" ht="14.4" x14ac:dyDescent="0.3">
      <c r="A193" s="53"/>
      <c r="C193" s="54" t="s">
        <v>429</v>
      </c>
      <c r="D193" s="54" t="s">
        <v>4</v>
      </c>
      <c r="F193" s="55">
        <v>42.24</v>
      </c>
      <c r="K193" s="56"/>
    </row>
    <row r="194" spans="1:76" ht="14.4" x14ac:dyDescent="0.3">
      <c r="A194" s="1" t="s">
        <v>351</v>
      </c>
      <c r="B194" s="2" t="s">
        <v>430</v>
      </c>
      <c r="C194" s="75" t="s">
        <v>431</v>
      </c>
      <c r="D194" s="70"/>
      <c r="E194" s="2" t="s">
        <v>257</v>
      </c>
      <c r="F194" s="50">
        <v>64.8</v>
      </c>
      <c r="G194" s="50">
        <v>0</v>
      </c>
      <c r="H194" s="50">
        <f>ROUND(F194*AO194,2)</f>
        <v>0</v>
      </c>
      <c r="I194" s="50">
        <f>ROUND(F194*AP194,2)</f>
        <v>0</v>
      </c>
      <c r="J194" s="50">
        <f>ROUND(F194*G194,2)</f>
        <v>0</v>
      </c>
      <c r="K194" s="51" t="s">
        <v>118</v>
      </c>
      <c r="Z194" s="50">
        <f>ROUND(IF(AQ194="5",BJ194,0),2)</f>
        <v>0</v>
      </c>
      <c r="AB194" s="50">
        <f>ROUND(IF(AQ194="1",BH194,0),2)</f>
        <v>0</v>
      </c>
      <c r="AC194" s="50">
        <f>ROUND(IF(AQ194="1",BI194,0),2)</f>
        <v>0</v>
      </c>
      <c r="AD194" s="50">
        <f>ROUND(IF(AQ194="7",BH194,0),2)</f>
        <v>0</v>
      </c>
      <c r="AE194" s="50">
        <f>ROUND(IF(AQ194="7",BI194,0),2)</f>
        <v>0</v>
      </c>
      <c r="AF194" s="50">
        <f>ROUND(IF(AQ194="2",BH194,0),2)</f>
        <v>0</v>
      </c>
      <c r="AG194" s="50">
        <f>ROUND(IF(AQ194="2",BI194,0),2)</f>
        <v>0</v>
      </c>
      <c r="AH194" s="50">
        <f>ROUND(IF(AQ194="0",BJ194,0),2)</f>
        <v>0</v>
      </c>
      <c r="AI194" s="32" t="s">
        <v>4</v>
      </c>
      <c r="AJ194" s="50">
        <f>IF(AN194=0,J194,0)</f>
        <v>0</v>
      </c>
      <c r="AK194" s="50">
        <f>IF(AN194=12,J194,0)</f>
        <v>0</v>
      </c>
      <c r="AL194" s="50">
        <f>IF(AN194=21,J194,0)</f>
        <v>0</v>
      </c>
      <c r="AN194" s="50">
        <v>21</v>
      </c>
      <c r="AO194" s="50">
        <f>G194*0.044533608</f>
        <v>0</v>
      </c>
      <c r="AP194" s="50">
        <f>G194*(1-0.044533608)</f>
        <v>0</v>
      </c>
      <c r="AQ194" s="52" t="s">
        <v>153</v>
      </c>
      <c r="AV194" s="50">
        <f>ROUND(AW194+AX194,2)</f>
        <v>0</v>
      </c>
      <c r="AW194" s="50">
        <f>ROUND(F194*AO194,2)</f>
        <v>0</v>
      </c>
      <c r="AX194" s="50">
        <f>ROUND(F194*AP194,2)</f>
        <v>0</v>
      </c>
      <c r="AY194" s="52" t="s">
        <v>425</v>
      </c>
      <c r="AZ194" s="52" t="s">
        <v>426</v>
      </c>
      <c r="BA194" s="32" t="s">
        <v>121</v>
      </c>
      <c r="BC194" s="50">
        <f>AW194+AX194</f>
        <v>0</v>
      </c>
      <c r="BD194" s="50">
        <f>G194/(100-BE194)*100</f>
        <v>0</v>
      </c>
      <c r="BE194" s="50">
        <v>0</v>
      </c>
      <c r="BF194" s="50">
        <f>194</f>
        <v>194</v>
      </c>
      <c r="BH194" s="50">
        <f>F194*AO194</f>
        <v>0</v>
      </c>
      <c r="BI194" s="50">
        <f>F194*AP194</f>
        <v>0</v>
      </c>
      <c r="BJ194" s="50">
        <f>F194*G194</f>
        <v>0</v>
      </c>
      <c r="BK194" s="52" t="s">
        <v>122</v>
      </c>
      <c r="BL194" s="50">
        <v>762</v>
      </c>
      <c r="BW194" s="50">
        <v>21</v>
      </c>
      <c r="BX194" s="3" t="s">
        <v>431</v>
      </c>
    </row>
    <row r="195" spans="1:76" ht="14.4" x14ac:dyDescent="0.3">
      <c r="A195" s="53"/>
      <c r="C195" s="54" t="s">
        <v>432</v>
      </c>
      <c r="D195" s="54" t="s">
        <v>4</v>
      </c>
      <c r="F195" s="55">
        <v>64.8</v>
      </c>
      <c r="K195" s="56"/>
    </row>
    <row r="196" spans="1:76" ht="14.4" x14ac:dyDescent="0.3">
      <c r="A196" s="1" t="s">
        <v>357</v>
      </c>
      <c r="B196" s="2" t="s">
        <v>433</v>
      </c>
      <c r="C196" s="75" t="s">
        <v>434</v>
      </c>
      <c r="D196" s="70"/>
      <c r="E196" s="2" t="s">
        <v>117</v>
      </c>
      <c r="F196" s="50">
        <v>2.56725</v>
      </c>
      <c r="G196" s="50">
        <v>0</v>
      </c>
      <c r="H196" s="50">
        <f>ROUND(F196*AO196,2)</f>
        <v>0</v>
      </c>
      <c r="I196" s="50">
        <f>ROUND(F196*AP196,2)</f>
        <v>0</v>
      </c>
      <c r="J196" s="50">
        <f>ROUND(F196*G196,2)</f>
        <v>0</v>
      </c>
      <c r="K196" s="51" t="s">
        <v>118</v>
      </c>
      <c r="Z196" s="50">
        <f>ROUND(IF(AQ196="5",BJ196,0),2)</f>
        <v>0</v>
      </c>
      <c r="AB196" s="50">
        <f>ROUND(IF(AQ196="1",BH196,0),2)</f>
        <v>0</v>
      </c>
      <c r="AC196" s="50">
        <f>ROUND(IF(AQ196="1",BI196,0),2)</f>
        <v>0</v>
      </c>
      <c r="AD196" s="50">
        <f>ROUND(IF(AQ196="7",BH196,0),2)</f>
        <v>0</v>
      </c>
      <c r="AE196" s="50">
        <f>ROUND(IF(AQ196="7",BI196,0),2)</f>
        <v>0</v>
      </c>
      <c r="AF196" s="50">
        <f>ROUND(IF(AQ196="2",BH196,0),2)</f>
        <v>0</v>
      </c>
      <c r="AG196" s="50">
        <f>ROUND(IF(AQ196="2",BI196,0),2)</f>
        <v>0</v>
      </c>
      <c r="AH196" s="50">
        <f>ROUND(IF(AQ196="0",BJ196,0),2)</f>
        <v>0</v>
      </c>
      <c r="AI196" s="32" t="s">
        <v>4</v>
      </c>
      <c r="AJ196" s="50">
        <f>IF(AN196=0,J196,0)</f>
        <v>0</v>
      </c>
      <c r="AK196" s="50">
        <f>IF(AN196=12,J196,0)</f>
        <v>0</v>
      </c>
      <c r="AL196" s="50">
        <f>IF(AN196=21,J196,0)</f>
        <v>0</v>
      </c>
      <c r="AN196" s="50">
        <v>21</v>
      </c>
      <c r="AO196" s="50">
        <f>G196*1</f>
        <v>0</v>
      </c>
      <c r="AP196" s="50">
        <f>G196*(1-1)</f>
        <v>0</v>
      </c>
      <c r="AQ196" s="52" t="s">
        <v>153</v>
      </c>
      <c r="AV196" s="50">
        <f>ROUND(AW196+AX196,2)</f>
        <v>0</v>
      </c>
      <c r="AW196" s="50">
        <f>ROUND(F196*AO196,2)</f>
        <v>0</v>
      </c>
      <c r="AX196" s="50">
        <f>ROUND(F196*AP196,2)</f>
        <v>0</v>
      </c>
      <c r="AY196" s="52" t="s">
        <v>425</v>
      </c>
      <c r="AZ196" s="52" t="s">
        <v>426</v>
      </c>
      <c r="BA196" s="32" t="s">
        <v>121</v>
      </c>
      <c r="BC196" s="50">
        <f>AW196+AX196</f>
        <v>0</v>
      </c>
      <c r="BD196" s="50">
        <f>G196/(100-BE196)*100</f>
        <v>0</v>
      </c>
      <c r="BE196" s="50">
        <v>0</v>
      </c>
      <c r="BF196" s="50">
        <f>196</f>
        <v>196</v>
      </c>
      <c r="BH196" s="50">
        <f>F196*AO196</f>
        <v>0</v>
      </c>
      <c r="BI196" s="50">
        <f>F196*AP196</f>
        <v>0</v>
      </c>
      <c r="BJ196" s="50">
        <f>F196*G196</f>
        <v>0</v>
      </c>
      <c r="BK196" s="52" t="s">
        <v>183</v>
      </c>
      <c r="BL196" s="50">
        <v>762</v>
      </c>
      <c r="BW196" s="50">
        <v>21</v>
      </c>
      <c r="BX196" s="3" t="s">
        <v>434</v>
      </c>
    </row>
    <row r="197" spans="1:76" ht="14.4" x14ac:dyDescent="0.3">
      <c r="A197" s="53"/>
      <c r="C197" s="54" t="s">
        <v>435</v>
      </c>
      <c r="D197" s="54" t="s">
        <v>4</v>
      </c>
      <c r="F197" s="55">
        <v>2.4449999999999998</v>
      </c>
      <c r="K197" s="56"/>
    </row>
    <row r="198" spans="1:76" ht="14.4" x14ac:dyDescent="0.3">
      <c r="A198" s="53"/>
      <c r="C198" s="54" t="s">
        <v>436</v>
      </c>
      <c r="D198" s="54" t="s">
        <v>4</v>
      </c>
      <c r="F198" s="55">
        <v>0.12225</v>
      </c>
      <c r="K198" s="56"/>
    </row>
    <row r="199" spans="1:76" ht="14.4" x14ac:dyDescent="0.3">
      <c r="A199" s="1" t="s">
        <v>437</v>
      </c>
      <c r="B199" s="2" t="s">
        <v>438</v>
      </c>
      <c r="C199" s="75" t="s">
        <v>439</v>
      </c>
      <c r="D199" s="70"/>
      <c r="E199" s="2" t="s">
        <v>257</v>
      </c>
      <c r="F199" s="50">
        <v>80</v>
      </c>
      <c r="G199" s="50">
        <v>0</v>
      </c>
      <c r="H199" s="50">
        <f>ROUND(F199*AO199,2)</f>
        <v>0</v>
      </c>
      <c r="I199" s="50">
        <f>ROUND(F199*AP199,2)</f>
        <v>0</v>
      </c>
      <c r="J199" s="50">
        <f>ROUND(F199*G199,2)</f>
        <v>0</v>
      </c>
      <c r="K199" s="51" t="s">
        <v>118</v>
      </c>
      <c r="Z199" s="50">
        <f>ROUND(IF(AQ199="5",BJ199,0),2)</f>
        <v>0</v>
      </c>
      <c r="AB199" s="50">
        <f>ROUND(IF(AQ199="1",BH199,0),2)</f>
        <v>0</v>
      </c>
      <c r="AC199" s="50">
        <f>ROUND(IF(AQ199="1",BI199,0),2)</f>
        <v>0</v>
      </c>
      <c r="AD199" s="50">
        <f>ROUND(IF(AQ199="7",BH199,0),2)</f>
        <v>0</v>
      </c>
      <c r="AE199" s="50">
        <f>ROUND(IF(AQ199="7",BI199,0),2)</f>
        <v>0</v>
      </c>
      <c r="AF199" s="50">
        <f>ROUND(IF(AQ199="2",BH199,0),2)</f>
        <v>0</v>
      </c>
      <c r="AG199" s="50">
        <f>ROUND(IF(AQ199="2",BI199,0),2)</f>
        <v>0</v>
      </c>
      <c r="AH199" s="50">
        <f>ROUND(IF(AQ199="0",BJ199,0),2)</f>
        <v>0</v>
      </c>
      <c r="AI199" s="32" t="s">
        <v>4</v>
      </c>
      <c r="AJ199" s="50">
        <f>IF(AN199=0,J199,0)</f>
        <v>0</v>
      </c>
      <c r="AK199" s="50">
        <f>IF(AN199=12,J199,0)</f>
        <v>0</v>
      </c>
      <c r="AL199" s="50">
        <f>IF(AN199=21,J199,0)</f>
        <v>0</v>
      </c>
      <c r="AN199" s="50">
        <v>21</v>
      </c>
      <c r="AO199" s="50">
        <f>G199*0.033511706</f>
        <v>0</v>
      </c>
      <c r="AP199" s="50">
        <f>G199*(1-0.033511706)</f>
        <v>0</v>
      </c>
      <c r="AQ199" s="52" t="s">
        <v>153</v>
      </c>
      <c r="AV199" s="50">
        <f>ROUND(AW199+AX199,2)</f>
        <v>0</v>
      </c>
      <c r="AW199" s="50">
        <f>ROUND(F199*AO199,2)</f>
        <v>0</v>
      </c>
      <c r="AX199" s="50">
        <f>ROUND(F199*AP199,2)</f>
        <v>0</v>
      </c>
      <c r="AY199" s="52" t="s">
        <v>425</v>
      </c>
      <c r="AZ199" s="52" t="s">
        <v>426</v>
      </c>
      <c r="BA199" s="32" t="s">
        <v>121</v>
      </c>
      <c r="BC199" s="50">
        <f>AW199+AX199</f>
        <v>0</v>
      </c>
      <c r="BD199" s="50">
        <f>G199/(100-BE199)*100</f>
        <v>0</v>
      </c>
      <c r="BE199" s="50">
        <v>0</v>
      </c>
      <c r="BF199" s="50">
        <f>199</f>
        <v>199</v>
      </c>
      <c r="BH199" s="50">
        <f>F199*AO199</f>
        <v>0</v>
      </c>
      <c r="BI199" s="50">
        <f>F199*AP199</f>
        <v>0</v>
      </c>
      <c r="BJ199" s="50">
        <f>F199*G199</f>
        <v>0</v>
      </c>
      <c r="BK199" s="52" t="s">
        <v>122</v>
      </c>
      <c r="BL199" s="50">
        <v>762</v>
      </c>
      <c r="BW199" s="50">
        <v>21</v>
      </c>
      <c r="BX199" s="3" t="s">
        <v>439</v>
      </c>
    </row>
    <row r="200" spans="1:76" ht="14.4" x14ac:dyDescent="0.3">
      <c r="A200" s="53"/>
      <c r="C200" s="54" t="s">
        <v>440</v>
      </c>
      <c r="D200" s="54" t="s">
        <v>4</v>
      </c>
      <c r="F200" s="55">
        <v>80</v>
      </c>
      <c r="K200" s="56"/>
    </row>
    <row r="201" spans="1:76" ht="14.4" x14ac:dyDescent="0.3">
      <c r="A201" s="1" t="s">
        <v>441</v>
      </c>
      <c r="B201" s="2" t="s">
        <v>442</v>
      </c>
      <c r="C201" s="75" t="s">
        <v>443</v>
      </c>
      <c r="D201" s="70"/>
      <c r="E201" s="2" t="s">
        <v>177</v>
      </c>
      <c r="F201" s="50">
        <v>70.06</v>
      </c>
      <c r="G201" s="50">
        <v>0</v>
      </c>
      <c r="H201" s="50">
        <f>ROUND(F201*AO201,2)</f>
        <v>0</v>
      </c>
      <c r="I201" s="50">
        <f>ROUND(F201*AP201,2)</f>
        <v>0</v>
      </c>
      <c r="J201" s="50">
        <f>ROUND(F201*G201,2)</f>
        <v>0</v>
      </c>
      <c r="K201" s="51" t="s">
        <v>118</v>
      </c>
      <c r="Z201" s="50">
        <f>ROUND(IF(AQ201="5",BJ201,0),2)</f>
        <v>0</v>
      </c>
      <c r="AB201" s="50">
        <f>ROUND(IF(AQ201="1",BH201,0),2)</f>
        <v>0</v>
      </c>
      <c r="AC201" s="50">
        <f>ROUND(IF(AQ201="1",BI201,0),2)</f>
        <v>0</v>
      </c>
      <c r="AD201" s="50">
        <f>ROUND(IF(AQ201="7",BH201,0),2)</f>
        <v>0</v>
      </c>
      <c r="AE201" s="50">
        <f>ROUND(IF(AQ201="7",BI201,0),2)</f>
        <v>0</v>
      </c>
      <c r="AF201" s="50">
        <f>ROUND(IF(AQ201="2",BH201,0),2)</f>
        <v>0</v>
      </c>
      <c r="AG201" s="50">
        <f>ROUND(IF(AQ201="2",BI201,0),2)</f>
        <v>0</v>
      </c>
      <c r="AH201" s="50">
        <f>ROUND(IF(AQ201="0",BJ201,0),2)</f>
        <v>0</v>
      </c>
      <c r="AI201" s="32" t="s">
        <v>4</v>
      </c>
      <c r="AJ201" s="50">
        <f>IF(AN201=0,J201,0)</f>
        <v>0</v>
      </c>
      <c r="AK201" s="50">
        <f>IF(AN201=12,J201,0)</f>
        <v>0</v>
      </c>
      <c r="AL201" s="50">
        <f>IF(AN201=21,J201,0)</f>
        <v>0</v>
      </c>
      <c r="AN201" s="50">
        <v>21</v>
      </c>
      <c r="AO201" s="50">
        <f>G201*0.542883145</f>
        <v>0</v>
      </c>
      <c r="AP201" s="50">
        <f>G201*(1-0.542883145)</f>
        <v>0</v>
      </c>
      <c r="AQ201" s="52" t="s">
        <v>153</v>
      </c>
      <c r="AV201" s="50">
        <f>ROUND(AW201+AX201,2)</f>
        <v>0</v>
      </c>
      <c r="AW201" s="50">
        <f>ROUND(F201*AO201,2)</f>
        <v>0</v>
      </c>
      <c r="AX201" s="50">
        <f>ROUND(F201*AP201,2)</f>
        <v>0</v>
      </c>
      <c r="AY201" s="52" t="s">
        <v>425</v>
      </c>
      <c r="AZ201" s="52" t="s">
        <v>426</v>
      </c>
      <c r="BA201" s="32" t="s">
        <v>121</v>
      </c>
      <c r="BC201" s="50">
        <f>AW201+AX201</f>
        <v>0</v>
      </c>
      <c r="BD201" s="50">
        <f>G201/(100-BE201)*100</f>
        <v>0</v>
      </c>
      <c r="BE201" s="50">
        <v>0</v>
      </c>
      <c r="BF201" s="50">
        <f>201</f>
        <v>201</v>
      </c>
      <c r="BH201" s="50">
        <f>F201*AO201</f>
        <v>0</v>
      </c>
      <c r="BI201" s="50">
        <f>F201*AP201</f>
        <v>0</v>
      </c>
      <c r="BJ201" s="50">
        <f>F201*G201</f>
        <v>0</v>
      </c>
      <c r="BK201" s="52" t="s">
        <v>122</v>
      </c>
      <c r="BL201" s="50">
        <v>762</v>
      </c>
      <c r="BW201" s="50">
        <v>21</v>
      </c>
      <c r="BX201" s="3" t="s">
        <v>443</v>
      </c>
    </row>
    <row r="202" spans="1:76" ht="13.5" customHeight="1" x14ac:dyDescent="0.3">
      <c r="A202" s="53"/>
      <c r="B202" s="57" t="s">
        <v>157</v>
      </c>
      <c r="C202" s="150" t="s">
        <v>444</v>
      </c>
      <c r="D202" s="151"/>
      <c r="E202" s="151"/>
      <c r="F202" s="151"/>
      <c r="G202" s="151"/>
      <c r="H202" s="151"/>
      <c r="I202" s="151"/>
      <c r="J202" s="151"/>
      <c r="K202" s="152"/>
    </row>
    <row r="203" spans="1:76" ht="14.4" x14ac:dyDescent="0.3">
      <c r="A203" s="53"/>
      <c r="C203" s="54" t="s">
        <v>445</v>
      </c>
      <c r="D203" s="54" t="s">
        <v>4</v>
      </c>
      <c r="F203" s="55">
        <v>70.06</v>
      </c>
      <c r="K203" s="56"/>
    </row>
    <row r="204" spans="1:76" ht="14.4" x14ac:dyDescent="0.3">
      <c r="A204" s="1" t="s">
        <v>446</v>
      </c>
      <c r="B204" s="2" t="s">
        <v>447</v>
      </c>
      <c r="C204" s="75" t="s">
        <v>448</v>
      </c>
      <c r="D204" s="70"/>
      <c r="E204" s="2" t="s">
        <v>177</v>
      </c>
      <c r="F204" s="50">
        <v>70.06</v>
      </c>
      <c r="G204" s="50">
        <v>0</v>
      </c>
      <c r="H204" s="50">
        <f>ROUND(F204*AO204,2)</f>
        <v>0</v>
      </c>
      <c r="I204" s="50">
        <f>ROUND(F204*AP204,2)</f>
        <v>0</v>
      </c>
      <c r="J204" s="50">
        <f>ROUND(F204*G204,2)</f>
        <v>0</v>
      </c>
      <c r="K204" s="51" t="s">
        <v>118</v>
      </c>
      <c r="Z204" s="50">
        <f>ROUND(IF(AQ204="5",BJ204,0),2)</f>
        <v>0</v>
      </c>
      <c r="AB204" s="50">
        <f>ROUND(IF(AQ204="1",BH204,0),2)</f>
        <v>0</v>
      </c>
      <c r="AC204" s="50">
        <f>ROUND(IF(AQ204="1",BI204,0),2)</f>
        <v>0</v>
      </c>
      <c r="AD204" s="50">
        <f>ROUND(IF(AQ204="7",BH204,0),2)</f>
        <v>0</v>
      </c>
      <c r="AE204" s="50">
        <f>ROUND(IF(AQ204="7",BI204,0),2)</f>
        <v>0</v>
      </c>
      <c r="AF204" s="50">
        <f>ROUND(IF(AQ204="2",BH204,0),2)</f>
        <v>0</v>
      </c>
      <c r="AG204" s="50">
        <f>ROUND(IF(AQ204="2",BI204,0),2)</f>
        <v>0</v>
      </c>
      <c r="AH204" s="50">
        <f>ROUND(IF(AQ204="0",BJ204,0),2)</f>
        <v>0</v>
      </c>
      <c r="AI204" s="32" t="s">
        <v>4</v>
      </c>
      <c r="AJ204" s="50">
        <f>IF(AN204=0,J204,0)</f>
        <v>0</v>
      </c>
      <c r="AK204" s="50">
        <f>IF(AN204=12,J204,0)</f>
        <v>0</v>
      </c>
      <c r="AL204" s="50">
        <f>IF(AN204=21,J204,0)</f>
        <v>0</v>
      </c>
      <c r="AN204" s="50">
        <v>21</v>
      </c>
      <c r="AO204" s="50">
        <f>G204*0.358373546</f>
        <v>0</v>
      </c>
      <c r="AP204" s="50">
        <f>G204*(1-0.358373546)</f>
        <v>0</v>
      </c>
      <c r="AQ204" s="52" t="s">
        <v>153</v>
      </c>
      <c r="AV204" s="50">
        <f>ROUND(AW204+AX204,2)</f>
        <v>0</v>
      </c>
      <c r="AW204" s="50">
        <f>ROUND(F204*AO204,2)</f>
        <v>0</v>
      </c>
      <c r="AX204" s="50">
        <f>ROUND(F204*AP204,2)</f>
        <v>0</v>
      </c>
      <c r="AY204" s="52" t="s">
        <v>425</v>
      </c>
      <c r="AZ204" s="52" t="s">
        <v>426</v>
      </c>
      <c r="BA204" s="32" t="s">
        <v>121</v>
      </c>
      <c r="BC204" s="50">
        <f>AW204+AX204</f>
        <v>0</v>
      </c>
      <c r="BD204" s="50">
        <f>G204/(100-BE204)*100</f>
        <v>0</v>
      </c>
      <c r="BE204" s="50">
        <v>0</v>
      </c>
      <c r="BF204" s="50">
        <f>204</f>
        <v>204</v>
      </c>
      <c r="BH204" s="50">
        <f>F204*AO204</f>
        <v>0</v>
      </c>
      <c r="BI204" s="50">
        <f>F204*AP204</f>
        <v>0</v>
      </c>
      <c r="BJ204" s="50">
        <f>F204*G204</f>
        <v>0</v>
      </c>
      <c r="BK204" s="52" t="s">
        <v>122</v>
      </c>
      <c r="BL204" s="50">
        <v>762</v>
      </c>
      <c r="BW204" s="50">
        <v>21</v>
      </c>
      <c r="BX204" s="3" t="s">
        <v>448</v>
      </c>
    </row>
    <row r="205" spans="1:76" ht="13.5" customHeight="1" x14ac:dyDescent="0.3">
      <c r="A205" s="53"/>
      <c r="B205" s="57" t="s">
        <v>157</v>
      </c>
      <c r="C205" s="150" t="s">
        <v>449</v>
      </c>
      <c r="D205" s="151"/>
      <c r="E205" s="151"/>
      <c r="F205" s="151"/>
      <c r="G205" s="151"/>
      <c r="H205" s="151"/>
      <c r="I205" s="151"/>
      <c r="J205" s="151"/>
      <c r="K205" s="152"/>
    </row>
    <row r="206" spans="1:76" ht="14.4" x14ac:dyDescent="0.3">
      <c r="A206" s="53"/>
      <c r="C206" s="54" t="s">
        <v>445</v>
      </c>
      <c r="D206" s="54" t="s">
        <v>4</v>
      </c>
      <c r="F206" s="55">
        <v>70.06</v>
      </c>
      <c r="K206" s="56"/>
    </row>
    <row r="207" spans="1:76" ht="14.4" x14ac:dyDescent="0.3">
      <c r="A207" s="1" t="s">
        <v>450</v>
      </c>
      <c r="B207" s="2" t="s">
        <v>451</v>
      </c>
      <c r="C207" s="75" t="s">
        <v>452</v>
      </c>
      <c r="D207" s="70"/>
      <c r="E207" s="2" t="s">
        <v>219</v>
      </c>
      <c r="F207" s="50">
        <v>1.9406699999999999</v>
      </c>
      <c r="G207" s="50">
        <v>0</v>
      </c>
      <c r="H207" s="50">
        <f>ROUND(F207*AO207,2)</f>
        <v>0</v>
      </c>
      <c r="I207" s="50">
        <f>ROUND(F207*AP207,2)</f>
        <v>0</v>
      </c>
      <c r="J207" s="50">
        <f>ROUND(F207*G207,2)</f>
        <v>0</v>
      </c>
      <c r="K207" s="51" t="s">
        <v>118</v>
      </c>
      <c r="Z207" s="50">
        <f>ROUND(IF(AQ207="5",BJ207,0),2)</f>
        <v>0</v>
      </c>
      <c r="AB207" s="50">
        <f>ROUND(IF(AQ207="1",BH207,0),2)</f>
        <v>0</v>
      </c>
      <c r="AC207" s="50">
        <f>ROUND(IF(AQ207="1",BI207,0),2)</f>
        <v>0</v>
      </c>
      <c r="AD207" s="50">
        <f>ROUND(IF(AQ207="7",BH207,0),2)</f>
        <v>0</v>
      </c>
      <c r="AE207" s="50">
        <f>ROUND(IF(AQ207="7",BI207,0),2)</f>
        <v>0</v>
      </c>
      <c r="AF207" s="50">
        <f>ROUND(IF(AQ207="2",BH207,0),2)</f>
        <v>0</v>
      </c>
      <c r="AG207" s="50">
        <f>ROUND(IF(AQ207="2",BI207,0),2)</f>
        <v>0</v>
      </c>
      <c r="AH207" s="50">
        <f>ROUND(IF(AQ207="0",BJ207,0),2)</f>
        <v>0</v>
      </c>
      <c r="AI207" s="32" t="s">
        <v>4</v>
      </c>
      <c r="AJ207" s="50">
        <f>IF(AN207=0,J207,0)</f>
        <v>0</v>
      </c>
      <c r="AK207" s="50">
        <f>IF(AN207=12,J207,0)</f>
        <v>0</v>
      </c>
      <c r="AL207" s="50">
        <f>IF(AN207=21,J207,0)</f>
        <v>0</v>
      </c>
      <c r="AN207" s="50">
        <v>21</v>
      </c>
      <c r="AO207" s="50">
        <f>G207*0</f>
        <v>0</v>
      </c>
      <c r="AP207" s="50">
        <f>G207*(1-0)</f>
        <v>0</v>
      </c>
      <c r="AQ207" s="52" t="s">
        <v>139</v>
      </c>
      <c r="AV207" s="50">
        <f>ROUND(AW207+AX207,2)</f>
        <v>0</v>
      </c>
      <c r="AW207" s="50">
        <f>ROUND(F207*AO207,2)</f>
        <v>0</v>
      </c>
      <c r="AX207" s="50">
        <f>ROUND(F207*AP207,2)</f>
        <v>0</v>
      </c>
      <c r="AY207" s="52" t="s">
        <v>425</v>
      </c>
      <c r="AZ207" s="52" t="s">
        <v>426</v>
      </c>
      <c r="BA207" s="32" t="s">
        <v>121</v>
      </c>
      <c r="BC207" s="50">
        <f>AW207+AX207</f>
        <v>0</v>
      </c>
      <c r="BD207" s="50">
        <f>G207/(100-BE207)*100</f>
        <v>0</v>
      </c>
      <c r="BE207" s="50">
        <v>0</v>
      </c>
      <c r="BF207" s="50">
        <f>207</f>
        <v>207</v>
      </c>
      <c r="BH207" s="50">
        <f>F207*AO207</f>
        <v>0</v>
      </c>
      <c r="BI207" s="50">
        <f>F207*AP207</f>
        <v>0</v>
      </c>
      <c r="BJ207" s="50">
        <f>F207*G207</f>
        <v>0</v>
      </c>
      <c r="BK207" s="52" t="s">
        <v>122</v>
      </c>
      <c r="BL207" s="50">
        <v>762</v>
      </c>
      <c r="BW207" s="50">
        <v>21</v>
      </c>
      <c r="BX207" s="3" t="s">
        <v>452</v>
      </c>
    </row>
    <row r="208" spans="1:76" ht="14.4" x14ac:dyDescent="0.3">
      <c r="A208" s="46" t="s">
        <v>4</v>
      </c>
      <c r="B208" s="47" t="s">
        <v>453</v>
      </c>
      <c r="C208" s="148" t="s">
        <v>454</v>
      </c>
      <c r="D208" s="149"/>
      <c r="E208" s="48" t="s">
        <v>79</v>
      </c>
      <c r="F208" s="48" t="s">
        <v>79</v>
      </c>
      <c r="G208" s="48" t="s">
        <v>79</v>
      </c>
      <c r="H208" s="26">
        <f>ROUND(SUM(H209:H240),2)</f>
        <v>0</v>
      </c>
      <c r="I208" s="26">
        <f>ROUND(SUM(I209:I240),2)</f>
        <v>0</v>
      </c>
      <c r="J208" s="26">
        <f>ROUND(SUM(J209:J240),2)</f>
        <v>0</v>
      </c>
      <c r="K208" s="49" t="s">
        <v>4</v>
      </c>
      <c r="AI208" s="32" t="s">
        <v>4</v>
      </c>
      <c r="AS208" s="26">
        <f>SUM(AJ209:AJ240)</f>
        <v>0</v>
      </c>
      <c r="AT208" s="26">
        <f>SUM(AK209:AK240)</f>
        <v>0</v>
      </c>
      <c r="AU208" s="26">
        <f>SUM(AL209:AL240)</f>
        <v>0</v>
      </c>
    </row>
    <row r="209" spans="1:76" ht="14.4" x14ac:dyDescent="0.3">
      <c r="A209" s="1" t="s">
        <v>455</v>
      </c>
      <c r="B209" s="2" t="s">
        <v>456</v>
      </c>
      <c r="C209" s="75" t="s">
        <v>457</v>
      </c>
      <c r="D209" s="70"/>
      <c r="E209" s="2" t="s">
        <v>177</v>
      </c>
      <c r="F209" s="50">
        <v>79.28</v>
      </c>
      <c r="G209" s="50">
        <v>0</v>
      </c>
      <c r="H209" s="50">
        <f>ROUND(F209*AO209,2)</f>
        <v>0</v>
      </c>
      <c r="I209" s="50">
        <f>ROUND(F209*AP209,2)</f>
        <v>0</v>
      </c>
      <c r="J209" s="50">
        <f>ROUND(F209*G209,2)</f>
        <v>0</v>
      </c>
      <c r="K209" s="51" t="s">
        <v>118</v>
      </c>
      <c r="Z209" s="50">
        <f>ROUND(IF(AQ209="5",BJ209,0),2)</f>
        <v>0</v>
      </c>
      <c r="AB209" s="50">
        <f>ROUND(IF(AQ209="1",BH209,0),2)</f>
        <v>0</v>
      </c>
      <c r="AC209" s="50">
        <f>ROUND(IF(AQ209="1",BI209,0),2)</f>
        <v>0</v>
      </c>
      <c r="AD209" s="50">
        <f>ROUND(IF(AQ209="7",BH209,0),2)</f>
        <v>0</v>
      </c>
      <c r="AE209" s="50">
        <f>ROUND(IF(AQ209="7",BI209,0),2)</f>
        <v>0</v>
      </c>
      <c r="AF209" s="50">
        <f>ROUND(IF(AQ209="2",BH209,0),2)</f>
        <v>0</v>
      </c>
      <c r="AG209" s="50">
        <f>ROUND(IF(AQ209="2",BI209,0),2)</f>
        <v>0</v>
      </c>
      <c r="AH209" s="50">
        <f>ROUND(IF(AQ209="0",BJ209,0),2)</f>
        <v>0</v>
      </c>
      <c r="AI209" s="32" t="s">
        <v>4</v>
      </c>
      <c r="AJ209" s="50">
        <f>IF(AN209=0,J209,0)</f>
        <v>0</v>
      </c>
      <c r="AK209" s="50">
        <f>IF(AN209=12,J209,0)</f>
        <v>0</v>
      </c>
      <c r="AL209" s="50">
        <f>IF(AN209=21,J209,0)</f>
        <v>0</v>
      </c>
      <c r="AN209" s="50">
        <v>21</v>
      </c>
      <c r="AO209" s="50">
        <f>G209*0</f>
        <v>0</v>
      </c>
      <c r="AP209" s="50">
        <f>G209*(1-0)</f>
        <v>0</v>
      </c>
      <c r="AQ209" s="52" t="s">
        <v>153</v>
      </c>
      <c r="AV209" s="50">
        <f>ROUND(AW209+AX209,2)</f>
        <v>0</v>
      </c>
      <c r="AW209" s="50">
        <f>ROUND(F209*AO209,2)</f>
        <v>0</v>
      </c>
      <c r="AX209" s="50">
        <f>ROUND(F209*AP209,2)</f>
        <v>0</v>
      </c>
      <c r="AY209" s="52" t="s">
        <v>458</v>
      </c>
      <c r="AZ209" s="52" t="s">
        <v>426</v>
      </c>
      <c r="BA209" s="32" t="s">
        <v>121</v>
      </c>
      <c r="BC209" s="50">
        <f>AW209+AX209</f>
        <v>0</v>
      </c>
      <c r="BD209" s="50">
        <f>G209/(100-BE209)*100</f>
        <v>0</v>
      </c>
      <c r="BE209" s="50">
        <v>0</v>
      </c>
      <c r="BF209" s="50">
        <f>209</f>
        <v>209</v>
      </c>
      <c r="BH209" s="50">
        <f>F209*AO209</f>
        <v>0</v>
      </c>
      <c r="BI209" s="50">
        <f>F209*AP209</f>
        <v>0</v>
      </c>
      <c r="BJ209" s="50">
        <f>F209*G209</f>
        <v>0</v>
      </c>
      <c r="BK209" s="52" t="s">
        <v>122</v>
      </c>
      <c r="BL209" s="50">
        <v>764</v>
      </c>
      <c r="BW209" s="50">
        <v>21</v>
      </c>
      <c r="BX209" s="3" t="s">
        <v>457</v>
      </c>
    </row>
    <row r="210" spans="1:76" ht="13.5" customHeight="1" x14ac:dyDescent="0.3">
      <c r="A210" s="53"/>
      <c r="B210" s="57" t="s">
        <v>157</v>
      </c>
      <c r="C210" s="150" t="s">
        <v>459</v>
      </c>
      <c r="D210" s="151"/>
      <c r="E210" s="151"/>
      <c r="F210" s="151"/>
      <c r="G210" s="151"/>
      <c r="H210" s="151"/>
      <c r="I210" s="151"/>
      <c r="J210" s="151"/>
      <c r="K210" s="152"/>
    </row>
    <row r="211" spans="1:76" ht="14.4" x14ac:dyDescent="0.3">
      <c r="A211" s="53"/>
      <c r="C211" s="54" t="s">
        <v>428</v>
      </c>
      <c r="D211" s="54" t="s">
        <v>4</v>
      </c>
      <c r="F211" s="55">
        <v>37.04</v>
      </c>
      <c r="K211" s="56"/>
    </row>
    <row r="212" spans="1:76" ht="14.4" x14ac:dyDescent="0.3">
      <c r="A212" s="53"/>
      <c r="C212" s="54" t="s">
        <v>429</v>
      </c>
      <c r="D212" s="54" t="s">
        <v>4</v>
      </c>
      <c r="F212" s="55">
        <v>42.24</v>
      </c>
      <c r="K212" s="56"/>
    </row>
    <row r="213" spans="1:76" ht="14.4" x14ac:dyDescent="0.3">
      <c r="A213" s="1" t="s">
        <v>460</v>
      </c>
      <c r="B213" s="2" t="s">
        <v>461</v>
      </c>
      <c r="C213" s="75" t="s">
        <v>462</v>
      </c>
      <c r="D213" s="70"/>
      <c r="E213" s="2" t="s">
        <v>177</v>
      </c>
      <c r="F213" s="50">
        <v>70.06</v>
      </c>
      <c r="G213" s="50">
        <v>0</v>
      </c>
      <c r="H213" s="50">
        <f>ROUND(F213*AO213,2)</f>
        <v>0</v>
      </c>
      <c r="I213" s="50">
        <f>ROUND(F213*AP213,2)</f>
        <v>0</v>
      </c>
      <c r="J213" s="50">
        <f>ROUND(F213*G213,2)</f>
        <v>0</v>
      </c>
      <c r="K213" s="51" t="s">
        <v>253</v>
      </c>
      <c r="Z213" s="50">
        <f>ROUND(IF(AQ213="5",BJ213,0),2)</f>
        <v>0</v>
      </c>
      <c r="AB213" s="50">
        <f>ROUND(IF(AQ213="1",BH213,0),2)</f>
        <v>0</v>
      </c>
      <c r="AC213" s="50">
        <f>ROUND(IF(AQ213="1",BI213,0),2)</f>
        <v>0</v>
      </c>
      <c r="AD213" s="50">
        <f>ROUND(IF(AQ213="7",BH213,0),2)</f>
        <v>0</v>
      </c>
      <c r="AE213" s="50">
        <f>ROUND(IF(AQ213="7",BI213,0),2)</f>
        <v>0</v>
      </c>
      <c r="AF213" s="50">
        <f>ROUND(IF(AQ213="2",BH213,0),2)</f>
        <v>0</v>
      </c>
      <c r="AG213" s="50">
        <f>ROUND(IF(AQ213="2",BI213,0),2)</f>
        <v>0</v>
      </c>
      <c r="AH213" s="50">
        <f>ROUND(IF(AQ213="0",BJ213,0),2)</f>
        <v>0</v>
      </c>
      <c r="AI213" s="32" t="s">
        <v>4</v>
      </c>
      <c r="AJ213" s="50">
        <f>IF(AN213=0,J213,0)</f>
        <v>0</v>
      </c>
      <c r="AK213" s="50">
        <f>IF(AN213=12,J213,0)</f>
        <v>0</v>
      </c>
      <c r="AL213" s="50">
        <f>IF(AN213=21,J213,0)</f>
        <v>0</v>
      </c>
      <c r="AN213" s="50">
        <v>21</v>
      </c>
      <c r="AO213" s="50">
        <f>G213*0.257008521</f>
        <v>0</v>
      </c>
      <c r="AP213" s="50">
        <f>G213*(1-0.257008521)</f>
        <v>0</v>
      </c>
      <c r="AQ213" s="52" t="s">
        <v>153</v>
      </c>
      <c r="AV213" s="50">
        <f>ROUND(AW213+AX213,2)</f>
        <v>0</v>
      </c>
      <c r="AW213" s="50">
        <f>ROUND(F213*AO213,2)</f>
        <v>0</v>
      </c>
      <c r="AX213" s="50">
        <f>ROUND(F213*AP213,2)</f>
        <v>0</v>
      </c>
      <c r="AY213" s="52" t="s">
        <v>458</v>
      </c>
      <c r="AZ213" s="52" t="s">
        <v>426</v>
      </c>
      <c r="BA213" s="32" t="s">
        <v>121</v>
      </c>
      <c r="BC213" s="50">
        <f>AW213+AX213</f>
        <v>0</v>
      </c>
      <c r="BD213" s="50">
        <f>G213/(100-BE213)*100</f>
        <v>0</v>
      </c>
      <c r="BE213" s="50">
        <v>0</v>
      </c>
      <c r="BF213" s="50">
        <f>213</f>
        <v>213</v>
      </c>
      <c r="BH213" s="50">
        <f>F213*AO213</f>
        <v>0</v>
      </c>
      <c r="BI213" s="50">
        <f>F213*AP213</f>
        <v>0</v>
      </c>
      <c r="BJ213" s="50">
        <f>F213*G213</f>
        <v>0</v>
      </c>
      <c r="BK213" s="52" t="s">
        <v>122</v>
      </c>
      <c r="BL213" s="50">
        <v>764</v>
      </c>
      <c r="BW213" s="50">
        <v>21</v>
      </c>
      <c r="BX213" s="3" t="s">
        <v>462</v>
      </c>
    </row>
    <row r="214" spans="1:76" ht="13.5" customHeight="1" x14ac:dyDescent="0.3">
      <c r="A214" s="53"/>
      <c r="B214" s="57" t="s">
        <v>157</v>
      </c>
      <c r="C214" s="150" t="s">
        <v>463</v>
      </c>
      <c r="D214" s="151"/>
      <c r="E214" s="151"/>
      <c r="F214" s="151"/>
      <c r="G214" s="151"/>
      <c r="H214" s="151"/>
      <c r="I214" s="151"/>
      <c r="J214" s="151"/>
      <c r="K214" s="152"/>
    </row>
    <row r="215" spans="1:76" ht="14.4" x14ac:dyDescent="0.3">
      <c r="A215" s="53"/>
      <c r="C215" s="54" t="s">
        <v>445</v>
      </c>
      <c r="D215" s="54" t="s">
        <v>4</v>
      </c>
      <c r="F215" s="55">
        <v>70.06</v>
      </c>
      <c r="K215" s="56"/>
    </row>
    <row r="216" spans="1:76" ht="14.4" x14ac:dyDescent="0.3">
      <c r="A216" s="1" t="s">
        <v>464</v>
      </c>
      <c r="B216" s="2" t="s">
        <v>465</v>
      </c>
      <c r="C216" s="75" t="s">
        <v>466</v>
      </c>
      <c r="D216" s="70"/>
      <c r="E216" s="2" t="s">
        <v>257</v>
      </c>
      <c r="F216" s="50">
        <v>9.1999999999999993</v>
      </c>
      <c r="G216" s="50">
        <v>0</v>
      </c>
      <c r="H216" s="50">
        <f>ROUND(F216*AO216,2)</f>
        <v>0</v>
      </c>
      <c r="I216" s="50">
        <f>ROUND(F216*AP216,2)</f>
        <v>0</v>
      </c>
      <c r="J216" s="50">
        <f>ROUND(F216*G216,2)</f>
        <v>0</v>
      </c>
      <c r="K216" s="51" t="s">
        <v>118</v>
      </c>
      <c r="Z216" s="50">
        <f>ROUND(IF(AQ216="5",BJ216,0),2)</f>
        <v>0</v>
      </c>
      <c r="AB216" s="50">
        <f>ROUND(IF(AQ216="1",BH216,0),2)</f>
        <v>0</v>
      </c>
      <c r="AC216" s="50">
        <f>ROUND(IF(AQ216="1",BI216,0),2)</f>
        <v>0</v>
      </c>
      <c r="AD216" s="50">
        <f>ROUND(IF(AQ216="7",BH216,0),2)</f>
        <v>0</v>
      </c>
      <c r="AE216" s="50">
        <f>ROUND(IF(AQ216="7",BI216,0),2)</f>
        <v>0</v>
      </c>
      <c r="AF216" s="50">
        <f>ROUND(IF(AQ216="2",BH216,0),2)</f>
        <v>0</v>
      </c>
      <c r="AG216" s="50">
        <f>ROUND(IF(AQ216="2",BI216,0),2)</f>
        <v>0</v>
      </c>
      <c r="AH216" s="50">
        <f>ROUND(IF(AQ216="0",BJ216,0),2)</f>
        <v>0</v>
      </c>
      <c r="AI216" s="32" t="s">
        <v>4</v>
      </c>
      <c r="AJ216" s="50">
        <f>IF(AN216=0,J216,0)</f>
        <v>0</v>
      </c>
      <c r="AK216" s="50">
        <f>IF(AN216=12,J216,0)</f>
        <v>0</v>
      </c>
      <c r="AL216" s="50">
        <f>IF(AN216=21,J216,0)</f>
        <v>0</v>
      </c>
      <c r="AN216" s="50">
        <v>21</v>
      </c>
      <c r="AO216" s="50">
        <f>G216*0.680424737</f>
        <v>0</v>
      </c>
      <c r="AP216" s="50">
        <f>G216*(1-0.680424737)</f>
        <v>0</v>
      </c>
      <c r="AQ216" s="52" t="s">
        <v>153</v>
      </c>
      <c r="AV216" s="50">
        <f>ROUND(AW216+AX216,2)</f>
        <v>0</v>
      </c>
      <c r="AW216" s="50">
        <f>ROUND(F216*AO216,2)</f>
        <v>0</v>
      </c>
      <c r="AX216" s="50">
        <f>ROUND(F216*AP216,2)</f>
        <v>0</v>
      </c>
      <c r="AY216" s="52" t="s">
        <v>458</v>
      </c>
      <c r="AZ216" s="52" t="s">
        <v>426</v>
      </c>
      <c r="BA216" s="32" t="s">
        <v>121</v>
      </c>
      <c r="BC216" s="50">
        <f>AW216+AX216</f>
        <v>0</v>
      </c>
      <c r="BD216" s="50">
        <f>G216/(100-BE216)*100</f>
        <v>0</v>
      </c>
      <c r="BE216" s="50">
        <v>0</v>
      </c>
      <c r="BF216" s="50">
        <f>216</f>
        <v>216</v>
      </c>
      <c r="BH216" s="50">
        <f>F216*AO216</f>
        <v>0</v>
      </c>
      <c r="BI216" s="50">
        <f>F216*AP216</f>
        <v>0</v>
      </c>
      <c r="BJ216" s="50">
        <f>F216*G216</f>
        <v>0</v>
      </c>
      <c r="BK216" s="52" t="s">
        <v>122</v>
      </c>
      <c r="BL216" s="50">
        <v>764</v>
      </c>
      <c r="BW216" s="50">
        <v>21</v>
      </c>
      <c r="BX216" s="3" t="s">
        <v>466</v>
      </c>
    </row>
    <row r="217" spans="1:76" ht="14.4" x14ac:dyDescent="0.3">
      <c r="A217" s="53"/>
      <c r="C217" s="54" t="s">
        <v>467</v>
      </c>
      <c r="D217" s="54" t="s">
        <v>4</v>
      </c>
      <c r="F217" s="55">
        <v>9.1999999999999993</v>
      </c>
      <c r="K217" s="56"/>
    </row>
    <row r="218" spans="1:76" ht="14.4" x14ac:dyDescent="0.3">
      <c r="A218" s="1" t="s">
        <v>468</v>
      </c>
      <c r="B218" s="2" t="s">
        <v>469</v>
      </c>
      <c r="C218" s="75" t="s">
        <v>470</v>
      </c>
      <c r="D218" s="70"/>
      <c r="E218" s="2" t="s">
        <v>257</v>
      </c>
      <c r="F218" s="50">
        <v>14.2</v>
      </c>
      <c r="G218" s="50">
        <v>0</v>
      </c>
      <c r="H218" s="50">
        <f>ROUND(F218*AO218,2)</f>
        <v>0</v>
      </c>
      <c r="I218" s="50">
        <f>ROUND(F218*AP218,2)</f>
        <v>0</v>
      </c>
      <c r="J218" s="50">
        <f>ROUND(F218*G218,2)</f>
        <v>0</v>
      </c>
      <c r="K218" s="51" t="s">
        <v>118</v>
      </c>
      <c r="Z218" s="50">
        <f>ROUND(IF(AQ218="5",BJ218,0),2)</f>
        <v>0</v>
      </c>
      <c r="AB218" s="50">
        <f>ROUND(IF(AQ218="1",BH218,0),2)</f>
        <v>0</v>
      </c>
      <c r="AC218" s="50">
        <f>ROUND(IF(AQ218="1",BI218,0),2)</f>
        <v>0</v>
      </c>
      <c r="AD218" s="50">
        <f>ROUND(IF(AQ218="7",BH218,0),2)</f>
        <v>0</v>
      </c>
      <c r="AE218" s="50">
        <f>ROUND(IF(AQ218="7",BI218,0),2)</f>
        <v>0</v>
      </c>
      <c r="AF218" s="50">
        <f>ROUND(IF(AQ218="2",BH218,0),2)</f>
        <v>0</v>
      </c>
      <c r="AG218" s="50">
        <f>ROUND(IF(AQ218="2",BI218,0),2)</f>
        <v>0</v>
      </c>
      <c r="AH218" s="50">
        <f>ROUND(IF(AQ218="0",BJ218,0),2)</f>
        <v>0</v>
      </c>
      <c r="AI218" s="32" t="s">
        <v>4</v>
      </c>
      <c r="AJ218" s="50">
        <f>IF(AN218=0,J218,0)</f>
        <v>0</v>
      </c>
      <c r="AK218" s="50">
        <f>IF(AN218=12,J218,0)</f>
        <v>0</v>
      </c>
      <c r="AL218" s="50">
        <f>IF(AN218=21,J218,0)</f>
        <v>0</v>
      </c>
      <c r="AN218" s="50">
        <v>21</v>
      </c>
      <c r="AO218" s="50">
        <f>G218*0.81203634</f>
        <v>0</v>
      </c>
      <c r="AP218" s="50">
        <f>G218*(1-0.81203634)</f>
        <v>0</v>
      </c>
      <c r="AQ218" s="52" t="s">
        <v>153</v>
      </c>
      <c r="AV218" s="50">
        <f>ROUND(AW218+AX218,2)</f>
        <v>0</v>
      </c>
      <c r="AW218" s="50">
        <f>ROUND(F218*AO218,2)</f>
        <v>0</v>
      </c>
      <c r="AX218" s="50">
        <f>ROUND(F218*AP218,2)</f>
        <v>0</v>
      </c>
      <c r="AY218" s="52" t="s">
        <v>458</v>
      </c>
      <c r="AZ218" s="52" t="s">
        <v>426</v>
      </c>
      <c r="BA218" s="32" t="s">
        <v>121</v>
      </c>
      <c r="BC218" s="50">
        <f>AW218+AX218</f>
        <v>0</v>
      </c>
      <c r="BD218" s="50">
        <f>G218/(100-BE218)*100</f>
        <v>0</v>
      </c>
      <c r="BE218" s="50">
        <v>0</v>
      </c>
      <c r="BF218" s="50">
        <f>218</f>
        <v>218</v>
      </c>
      <c r="BH218" s="50">
        <f>F218*AO218</f>
        <v>0</v>
      </c>
      <c r="BI218" s="50">
        <f>F218*AP218</f>
        <v>0</v>
      </c>
      <c r="BJ218" s="50">
        <f>F218*G218</f>
        <v>0</v>
      </c>
      <c r="BK218" s="52" t="s">
        <v>122</v>
      </c>
      <c r="BL218" s="50">
        <v>764</v>
      </c>
      <c r="BW218" s="50">
        <v>21</v>
      </c>
      <c r="BX218" s="3" t="s">
        <v>470</v>
      </c>
    </row>
    <row r="219" spans="1:76" ht="13.5" customHeight="1" x14ac:dyDescent="0.3">
      <c r="A219" s="53"/>
      <c r="B219" s="57" t="s">
        <v>157</v>
      </c>
      <c r="C219" s="150" t="s">
        <v>471</v>
      </c>
      <c r="D219" s="151"/>
      <c r="E219" s="151"/>
      <c r="F219" s="151"/>
      <c r="G219" s="151"/>
      <c r="H219" s="151"/>
      <c r="I219" s="151"/>
      <c r="J219" s="151"/>
      <c r="K219" s="152"/>
    </row>
    <row r="220" spans="1:76" ht="14.4" x14ac:dyDescent="0.3">
      <c r="A220" s="53"/>
      <c r="C220" s="54" t="s">
        <v>472</v>
      </c>
      <c r="D220" s="54" t="s">
        <v>4</v>
      </c>
      <c r="F220" s="55">
        <v>14.2</v>
      </c>
      <c r="K220" s="56"/>
    </row>
    <row r="221" spans="1:76" ht="14.4" x14ac:dyDescent="0.3">
      <c r="A221" s="1" t="s">
        <v>473</v>
      </c>
      <c r="B221" s="2" t="s">
        <v>474</v>
      </c>
      <c r="C221" s="75" t="s">
        <v>475</v>
      </c>
      <c r="D221" s="70"/>
      <c r="E221" s="2" t="s">
        <v>257</v>
      </c>
      <c r="F221" s="50">
        <v>9.1999999999999993</v>
      </c>
      <c r="G221" s="50">
        <v>0</v>
      </c>
      <c r="H221" s="50">
        <f>ROUND(F221*AO221,2)</f>
        <v>0</v>
      </c>
      <c r="I221" s="50">
        <f>ROUND(F221*AP221,2)</f>
        <v>0</v>
      </c>
      <c r="J221" s="50">
        <f>ROUND(F221*G221,2)</f>
        <v>0</v>
      </c>
      <c r="K221" s="51" t="s">
        <v>118</v>
      </c>
      <c r="Z221" s="50">
        <f>ROUND(IF(AQ221="5",BJ221,0),2)</f>
        <v>0</v>
      </c>
      <c r="AB221" s="50">
        <f>ROUND(IF(AQ221="1",BH221,0),2)</f>
        <v>0</v>
      </c>
      <c r="AC221" s="50">
        <f>ROUND(IF(AQ221="1",BI221,0),2)</f>
        <v>0</v>
      </c>
      <c r="AD221" s="50">
        <f>ROUND(IF(AQ221="7",BH221,0),2)</f>
        <v>0</v>
      </c>
      <c r="AE221" s="50">
        <f>ROUND(IF(AQ221="7",BI221,0),2)</f>
        <v>0</v>
      </c>
      <c r="AF221" s="50">
        <f>ROUND(IF(AQ221="2",BH221,0),2)</f>
        <v>0</v>
      </c>
      <c r="AG221" s="50">
        <f>ROUND(IF(AQ221="2",BI221,0),2)</f>
        <v>0</v>
      </c>
      <c r="AH221" s="50">
        <f>ROUND(IF(AQ221="0",BJ221,0),2)</f>
        <v>0</v>
      </c>
      <c r="AI221" s="32" t="s">
        <v>4</v>
      </c>
      <c r="AJ221" s="50">
        <f>IF(AN221=0,J221,0)</f>
        <v>0</v>
      </c>
      <c r="AK221" s="50">
        <f>IF(AN221=12,J221,0)</f>
        <v>0</v>
      </c>
      <c r="AL221" s="50">
        <f>IF(AN221=21,J221,0)</f>
        <v>0</v>
      </c>
      <c r="AN221" s="50">
        <v>21</v>
      </c>
      <c r="AO221" s="50">
        <f>G221*0.717960494</f>
        <v>0</v>
      </c>
      <c r="AP221" s="50">
        <f>G221*(1-0.717960494)</f>
        <v>0</v>
      </c>
      <c r="AQ221" s="52" t="s">
        <v>153</v>
      </c>
      <c r="AV221" s="50">
        <f>ROUND(AW221+AX221,2)</f>
        <v>0</v>
      </c>
      <c r="AW221" s="50">
        <f>ROUND(F221*AO221,2)</f>
        <v>0</v>
      </c>
      <c r="AX221" s="50">
        <f>ROUND(F221*AP221,2)</f>
        <v>0</v>
      </c>
      <c r="AY221" s="52" t="s">
        <v>458</v>
      </c>
      <c r="AZ221" s="52" t="s">
        <v>426</v>
      </c>
      <c r="BA221" s="32" t="s">
        <v>121</v>
      </c>
      <c r="BC221" s="50">
        <f>AW221+AX221</f>
        <v>0</v>
      </c>
      <c r="BD221" s="50">
        <f>G221/(100-BE221)*100</f>
        <v>0</v>
      </c>
      <c r="BE221" s="50">
        <v>0</v>
      </c>
      <c r="BF221" s="50">
        <f>221</f>
        <v>221</v>
      </c>
      <c r="BH221" s="50">
        <f>F221*AO221</f>
        <v>0</v>
      </c>
      <c r="BI221" s="50">
        <f>F221*AP221</f>
        <v>0</v>
      </c>
      <c r="BJ221" s="50">
        <f>F221*G221</f>
        <v>0</v>
      </c>
      <c r="BK221" s="52" t="s">
        <v>122</v>
      </c>
      <c r="BL221" s="50">
        <v>764</v>
      </c>
      <c r="BW221" s="50">
        <v>21</v>
      </c>
      <c r="BX221" s="3" t="s">
        <v>475</v>
      </c>
    </row>
    <row r="222" spans="1:76" ht="14.4" x14ac:dyDescent="0.3">
      <c r="A222" s="53"/>
      <c r="C222" s="54" t="s">
        <v>467</v>
      </c>
      <c r="D222" s="54" t="s">
        <v>4</v>
      </c>
      <c r="F222" s="55">
        <v>9.1999999999999993</v>
      </c>
      <c r="K222" s="56"/>
    </row>
    <row r="223" spans="1:76" ht="14.4" x14ac:dyDescent="0.3">
      <c r="A223" s="1" t="s">
        <v>476</v>
      </c>
      <c r="B223" s="2" t="s">
        <v>477</v>
      </c>
      <c r="C223" s="75" t="s">
        <v>478</v>
      </c>
      <c r="D223" s="70"/>
      <c r="E223" s="2" t="s">
        <v>242</v>
      </c>
      <c r="F223" s="50">
        <v>2</v>
      </c>
      <c r="G223" s="50">
        <v>0</v>
      </c>
      <c r="H223" s="50">
        <f>ROUND(F223*AO223,2)</f>
        <v>0</v>
      </c>
      <c r="I223" s="50">
        <f>ROUND(F223*AP223,2)</f>
        <v>0</v>
      </c>
      <c r="J223" s="50">
        <f>ROUND(F223*G223,2)</f>
        <v>0</v>
      </c>
      <c r="K223" s="51" t="s">
        <v>118</v>
      </c>
      <c r="Z223" s="50">
        <f>ROUND(IF(AQ223="5",BJ223,0),2)</f>
        <v>0</v>
      </c>
      <c r="AB223" s="50">
        <f>ROUND(IF(AQ223="1",BH223,0),2)</f>
        <v>0</v>
      </c>
      <c r="AC223" s="50">
        <f>ROUND(IF(AQ223="1",BI223,0),2)</f>
        <v>0</v>
      </c>
      <c r="AD223" s="50">
        <f>ROUND(IF(AQ223="7",BH223,0),2)</f>
        <v>0</v>
      </c>
      <c r="AE223" s="50">
        <f>ROUND(IF(AQ223="7",BI223,0),2)</f>
        <v>0</v>
      </c>
      <c r="AF223" s="50">
        <f>ROUND(IF(AQ223="2",BH223,0),2)</f>
        <v>0</v>
      </c>
      <c r="AG223" s="50">
        <f>ROUND(IF(AQ223="2",BI223,0),2)</f>
        <v>0</v>
      </c>
      <c r="AH223" s="50">
        <f>ROUND(IF(AQ223="0",BJ223,0),2)</f>
        <v>0</v>
      </c>
      <c r="AI223" s="32" t="s">
        <v>4</v>
      </c>
      <c r="AJ223" s="50">
        <f>IF(AN223=0,J223,0)</f>
        <v>0</v>
      </c>
      <c r="AK223" s="50">
        <f>IF(AN223=12,J223,0)</f>
        <v>0</v>
      </c>
      <c r="AL223" s="50">
        <f>IF(AN223=21,J223,0)</f>
        <v>0</v>
      </c>
      <c r="AN223" s="50">
        <v>21</v>
      </c>
      <c r="AO223" s="50">
        <f>G223*0.560443491</f>
        <v>0</v>
      </c>
      <c r="AP223" s="50">
        <f>G223*(1-0.560443491)</f>
        <v>0</v>
      </c>
      <c r="AQ223" s="52" t="s">
        <v>153</v>
      </c>
      <c r="AV223" s="50">
        <f>ROUND(AW223+AX223,2)</f>
        <v>0</v>
      </c>
      <c r="AW223" s="50">
        <f>ROUND(F223*AO223,2)</f>
        <v>0</v>
      </c>
      <c r="AX223" s="50">
        <f>ROUND(F223*AP223,2)</f>
        <v>0</v>
      </c>
      <c r="AY223" s="52" t="s">
        <v>458</v>
      </c>
      <c r="AZ223" s="52" t="s">
        <v>426</v>
      </c>
      <c r="BA223" s="32" t="s">
        <v>121</v>
      </c>
      <c r="BC223" s="50">
        <f>AW223+AX223</f>
        <v>0</v>
      </c>
      <c r="BD223" s="50">
        <f>G223/(100-BE223)*100</f>
        <v>0</v>
      </c>
      <c r="BE223" s="50">
        <v>0</v>
      </c>
      <c r="BF223" s="50">
        <f>223</f>
        <v>223</v>
      </c>
      <c r="BH223" s="50">
        <f>F223*AO223</f>
        <v>0</v>
      </c>
      <c r="BI223" s="50">
        <f>F223*AP223</f>
        <v>0</v>
      </c>
      <c r="BJ223" s="50">
        <f>F223*G223</f>
        <v>0</v>
      </c>
      <c r="BK223" s="52" t="s">
        <v>122</v>
      </c>
      <c r="BL223" s="50">
        <v>764</v>
      </c>
      <c r="BW223" s="50">
        <v>21</v>
      </c>
      <c r="BX223" s="3" t="s">
        <v>478</v>
      </c>
    </row>
    <row r="224" spans="1:76" ht="14.4" x14ac:dyDescent="0.3">
      <c r="A224" s="53"/>
      <c r="C224" s="54" t="s">
        <v>126</v>
      </c>
      <c r="D224" s="54" t="s">
        <v>4</v>
      </c>
      <c r="F224" s="55">
        <v>2</v>
      </c>
      <c r="K224" s="56"/>
    </row>
    <row r="225" spans="1:76" ht="14.4" x14ac:dyDescent="0.3">
      <c r="A225" s="1" t="s">
        <v>479</v>
      </c>
      <c r="B225" s="2" t="s">
        <v>480</v>
      </c>
      <c r="C225" s="75" t="s">
        <v>481</v>
      </c>
      <c r="D225" s="70"/>
      <c r="E225" s="2" t="s">
        <v>257</v>
      </c>
      <c r="F225" s="50">
        <v>14.2</v>
      </c>
      <c r="G225" s="50">
        <v>0</v>
      </c>
      <c r="H225" s="50">
        <f>ROUND(F225*AO225,2)</f>
        <v>0</v>
      </c>
      <c r="I225" s="50">
        <f>ROUND(F225*AP225,2)</f>
        <v>0</v>
      </c>
      <c r="J225" s="50">
        <f>ROUND(F225*G225,2)</f>
        <v>0</v>
      </c>
      <c r="K225" s="51" t="s">
        <v>118</v>
      </c>
      <c r="Z225" s="50">
        <f>ROUND(IF(AQ225="5",BJ225,0),2)</f>
        <v>0</v>
      </c>
      <c r="AB225" s="50">
        <f>ROUND(IF(AQ225="1",BH225,0),2)</f>
        <v>0</v>
      </c>
      <c r="AC225" s="50">
        <f>ROUND(IF(AQ225="1",BI225,0),2)</f>
        <v>0</v>
      </c>
      <c r="AD225" s="50">
        <f>ROUND(IF(AQ225="7",BH225,0),2)</f>
        <v>0</v>
      </c>
      <c r="AE225" s="50">
        <f>ROUND(IF(AQ225="7",BI225,0),2)</f>
        <v>0</v>
      </c>
      <c r="AF225" s="50">
        <f>ROUND(IF(AQ225="2",BH225,0),2)</f>
        <v>0</v>
      </c>
      <c r="AG225" s="50">
        <f>ROUND(IF(AQ225="2",BI225,0),2)</f>
        <v>0</v>
      </c>
      <c r="AH225" s="50">
        <f>ROUND(IF(AQ225="0",BJ225,0),2)</f>
        <v>0</v>
      </c>
      <c r="AI225" s="32" t="s">
        <v>4</v>
      </c>
      <c r="AJ225" s="50">
        <f>IF(AN225=0,J225,0)</f>
        <v>0</v>
      </c>
      <c r="AK225" s="50">
        <f>IF(AN225=12,J225,0)</f>
        <v>0</v>
      </c>
      <c r="AL225" s="50">
        <f>IF(AN225=21,J225,0)</f>
        <v>0</v>
      </c>
      <c r="AN225" s="50">
        <v>21</v>
      </c>
      <c r="AO225" s="50">
        <f>G225*0.692040324</f>
        <v>0</v>
      </c>
      <c r="AP225" s="50">
        <f>G225*(1-0.692040324)</f>
        <v>0</v>
      </c>
      <c r="AQ225" s="52" t="s">
        <v>153</v>
      </c>
      <c r="AV225" s="50">
        <f>ROUND(AW225+AX225,2)</f>
        <v>0</v>
      </c>
      <c r="AW225" s="50">
        <f>ROUND(F225*AO225,2)</f>
        <v>0</v>
      </c>
      <c r="AX225" s="50">
        <f>ROUND(F225*AP225,2)</f>
        <v>0</v>
      </c>
      <c r="AY225" s="52" t="s">
        <v>458</v>
      </c>
      <c r="AZ225" s="52" t="s">
        <v>426</v>
      </c>
      <c r="BA225" s="32" t="s">
        <v>121</v>
      </c>
      <c r="BC225" s="50">
        <f>AW225+AX225</f>
        <v>0</v>
      </c>
      <c r="BD225" s="50">
        <f>G225/(100-BE225)*100</f>
        <v>0</v>
      </c>
      <c r="BE225" s="50">
        <v>0</v>
      </c>
      <c r="BF225" s="50">
        <f>225</f>
        <v>225</v>
      </c>
      <c r="BH225" s="50">
        <f>F225*AO225</f>
        <v>0</v>
      </c>
      <c r="BI225" s="50">
        <f>F225*AP225</f>
        <v>0</v>
      </c>
      <c r="BJ225" s="50">
        <f>F225*G225</f>
        <v>0</v>
      </c>
      <c r="BK225" s="52" t="s">
        <v>122</v>
      </c>
      <c r="BL225" s="50">
        <v>764</v>
      </c>
      <c r="BW225" s="50">
        <v>21</v>
      </c>
      <c r="BX225" s="3" t="s">
        <v>481</v>
      </c>
    </row>
    <row r="226" spans="1:76" ht="14.4" x14ac:dyDescent="0.3">
      <c r="A226" s="53"/>
      <c r="C226" s="54" t="s">
        <v>482</v>
      </c>
      <c r="D226" s="54" t="s">
        <v>4</v>
      </c>
      <c r="F226" s="55">
        <v>14.2</v>
      </c>
      <c r="K226" s="56"/>
    </row>
    <row r="227" spans="1:76" ht="14.4" x14ac:dyDescent="0.3">
      <c r="A227" s="1" t="s">
        <v>483</v>
      </c>
      <c r="B227" s="2" t="s">
        <v>484</v>
      </c>
      <c r="C227" s="75" t="s">
        <v>485</v>
      </c>
      <c r="D227" s="70"/>
      <c r="E227" s="2" t="s">
        <v>257</v>
      </c>
      <c r="F227" s="50">
        <v>4.5999999999999996</v>
      </c>
      <c r="G227" s="50">
        <v>0</v>
      </c>
      <c r="H227" s="50">
        <f>ROUND(F227*AO227,2)</f>
        <v>0</v>
      </c>
      <c r="I227" s="50">
        <f>ROUND(F227*AP227,2)</f>
        <v>0</v>
      </c>
      <c r="J227" s="50">
        <f>ROUND(F227*G227,2)</f>
        <v>0</v>
      </c>
      <c r="K227" s="51" t="s">
        <v>118</v>
      </c>
      <c r="Z227" s="50">
        <f>ROUND(IF(AQ227="5",BJ227,0),2)</f>
        <v>0</v>
      </c>
      <c r="AB227" s="50">
        <f>ROUND(IF(AQ227="1",BH227,0),2)</f>
        <v>0</v>
      </c>
      <c r="AC227" s="50">
        <f>ROUND(IF(AQ227="1",BI227,0),2)</f>
        <v>0</v>
      </c>
      <c r="AD227" s="50">
        <f>ROUND(IF(AQ227="7",BH227,0),2)</f>
        <v>0</v>
      </c>
      <c r="AE227" s="50">
        <f>ROUND(IF(AQ227="7",BI227,0),2)</f>
        <v>0</v>
      </c>
      <c r="AF227" s="50">
        <f>ROUND(IF(AQ227="2",BH227,0),2)</f>
        <v>0</v>
      </c>
      <c r="AG227" s="50">
        <f>ROUND(IF(AQ227="2",BI227,0),2)</f>
        <v>0</v>
      </c>
      <c r="AH227" s="50">
        <f>ROUND(IF(AQ227="0",BJ227,0),2)</f>
        <v>0</v>
      </c>
      <c r="AI227" s="32" t="s">
        <v>4</v>
      </c>
      <c r="AJ227" s="50">
        <f>IF(AN227=0,J227,0)</f>
        <v>0</v>
      </c>
      <c r="AK227" s="50">
        <f>IF(AN227=12,J227,0)</f>
        <v>0</v>
      </c>
      <c r="AL227" s="50">
        <f>IF(AN227=21,J227,0)</f>
        <v>0</v>
      </c>
      <c r="AN227" s="50">
        <v>21</v>
      </c>
      <c r="AO227" s="50">
        <f>G227*0.811459137</f>
        <v>0</v>
      </c>
      <c r="AP227" s="50">
        <f>G227*(1-0.811459137)</f>
        <v>0</v>
      </c>
      <c r="AQ227" s="52" t="s">
        <v>153</v>
      </c>
      <c r="AV227" s="50">
        <f>ROUND(AW227+AX227,2)</f>
        <v>0</v>
      </c>
      <c r="AW227" s="50">
        <f>ROUND(F227*AO227,2)</f>
        <v>0</v>
      </c>
      <c r="AX227" s="50">
        <f>ROUND(F227*AP227,2)</f>
        <v>0</v>
      </c>
      <c r="AY227" s="52" t="s">
        <v>458</v>
      </c>
      <c r="AZ227" s="52" t="s">
        <v>426</v>
      </c>
      <c r="BA227" s="32" t="s">
        <v>121</v>
      </c>
      <c r="BC227" s="50">
        <f>AW227+AX227</f>
        <v>0</v>
      </c>
      <c r="BD227" s="50">
        <f>G227/(100-BE227)*100</f>
        <v>0</v>
      </c>
      <c r="BE227" s="50">
        <v>0</v>
      </c>
      <c r="BF227" s="50">
        <f>227</f>
        <v>227</v>
      </c>
      <c r="BH227" s="50">
        <f>F227*AO227</f>
        <v>0</v>
      </c>
      <c r="BI227" s="50">
        <f>F227*AP227</f>
        <v>0</v>
      </c>
      <c r="BJ227" s="50">
        <f>F227*G227</f>
        <v>0</v>
      </c>
      <c r="BK227" s="52" t="s">
        <v>122</v>
      </c>
      <c r="BL227" s="50">
        <v>764</v>
      </c>
      <c r="BW227" s="50">
        <v>21</v>
      </c>
      <c r="BX227" s="3" t="s">
        <v>485</v>
      </c>
    </row>
    <row r="228" spans="1:76" ht="14.4" x14ac:dyDescent="0.3">
      <c r="A228" s="53"/>
      <c r="C228" s="54" t="s">
        <v>486</v>
      </c>
      <c r="D228" s="54" t="s">
        <v>4</v>
      </c>
      <c r="F228" s="55">
        <v>4.5999999999999996</v>
      </c>
      <c r="K228" s="56"/>
    </row>
    <row r="229" spans="1:76" ht="14.4" x14ac:dyDescent="0.3">
      <c r="A229" s="1" t="s">
        <v>487</v>
      </c>
      <c r="B229" s="2" t="s">
        <v>488</v>
      </c>
      <c r="C229" s="75" t="s">
        <v>489</v>
      </c>
      <c r="D229" s="70"/>
      <c r="E229" s="2" t="s">
        <v>257</v>
      </c>
      <c r="F229" s="50">
        <v>1.25</v>
      </c>
      <c r="G229" s="50">
        <v>0</v>
      </c>
      <c r="H229" s="50">
        <f>ROUND(F229*AO229,2)</f>
        <v>0</v>
      </c>
      <c r="I229" s="50">
        <f>ROUND(F229*AP229,2)</f>
        <v>0</v>
      </c>
      <c r="J229" s="50">
        <f>ROUND(F229*G229,2)</f>
        <v>0</v>
      </c>
      <c r="K229" s="51" t="s">
        <v>118</v>
      </c>
      <c r="Z229" s="50">
        <f>ROUND(IF(AQ229="5",BJ229,0),2)</f>
        <v>0</v>
      </c>
      <c r="AB229" s="50">
        <f>ROUND(IF(AQ229="1",BH229,0),2)</f>
        <v>0</v>
      </c>
      <c r="AC229" s="50">
        <f>ROUND(IF(AQ229="1",BI229,0),2)</f>
        <v>0</v>
      </c>
      <c r="AD229" s="50">
        <f>ROUND(IF(AQ229="7",BH229,0),2)</f>
        <v>0</v>
      </c>
      <c r="AE229" s="50">
        <f>ROUND(IF(AQ229="7",BI229,0),2)</f>
        <v>0</v>
      </c>
      <c r="AF229" s="50">
        <f>ROUND(IF(AQ229="2",BH229,0),2)</f>
        <v>0</v>
      </c>
      <c r="AG229" s="50">
        <f>ROUND(IF(AQ229="2",BI229,0),2)</f>
        <v>0</v>
      </c>
      <c r="AH229" s="50">
        <f>ROUND(IF(AQ229="0",BJ229,0),2)</f>
        <v>0</v>
      </c>
      <c r="AI229" s="32" t="s">
        <v>4</v>
      </c>
      <c r="AJ229" s="50">
        <f>IF(AN229=0,J229,0)</f>
        <v>0</v>
      </c>
      <c r="AK229" s="50">
        <f>IF(AN229=12,J229,0)</f>
        <v>0</v>
      </c>
      <c r="AL229" s="50">
        <f>IF(AN229=21,J229,0)</f>
        <v>0</v>
      </c>
      <c r="AN229" s="50">
        <v>21</v>
      </c>
      <c r="AO229" s="50">
        <f>G229*0.234234637</f>
        <v>0</v>
      </c>
      <c r="AP229" s="50">
        <f>G229*(1-0.234234637)</f>
        <v>0</v>
      </c>
      <c r="AQ229" s="52" t="s">
        <v>153</v>
      </c>
      <c r="AV229" s="50">
        <f>ROUND(AW229+AX229,2)</f>
        <v>0</v>
      </c>
      <c r="AW229" s="50">
        <f>ROUND(F229*AO229,2)</f>
        <v>0</v>
      </c>
      <c r="AX229" s="50">
        <f>ROUND(F229*AP229,2)</f>
        <v>0</v>
      </c>
      <c r="AY229" s="52" t="s">
        <v>458</v>
      </c>
      <c r="AZ229" s="52" t="s">
        <v>426</v>
      </c>
      <c r="BA229" s="32" t="s">
        <v>121</v>
      </c>
      <c r="BC229" s="50">
        <f>AW229+AX229</f>
        <v>0</v>
      </c>
      <c r="BD229" s="50">
        <f>G229/(100-BE229)*100</f>
        <v>0</v>
      </c>
      <c r="BE229" s="50">
        <v>0</v>
      </c>
      <c r="BF229" s="50">
        <f>229</f>
        <v>229</v>
      </c>
      <c r="BH229" s="50">
        <f>F229*AO229</f>
        <v>0</v>
      </c>
      <c r="BI229" s="50">
        <f>F229*AP229</f>
        <v>0</v>
      </c>
      <c r="BJ229" s="50">
        <f>F229*G229</f>
        <v>0</v>
      </c>
      <c r="BK229" s="52" t="s">
        <v>122</v>
      </c>
      <c r="BL229" s="50">
        <v>764</v>
      </c>
      <c r="BW229" s="50">
        <v>21</v>
      </c>
      <c r="BX229" s="3" t="s">
        <v>489</v>
      </c>
    </row>
    <row r="230" spans="1:76" ht="14.4" x14ac:dyDescent="0.3">
      <c r="A230" s="53"/>
      <c r="C230" s="54" t="s">
        <v>490</v>
      </c>
      <c r="D230" s="54" t="s">
        <v>4</v>
      </c>
      <c r="F230" s="55">
        <v>1.25</v>
      </c>
      <c r="K230" s="56"/>
    </row>
    <row r="231" spans="1:76" ht="14.4" x14ac:dyDescent="0.3">
      <c r="A231" s="1" t="s">
        <v>491</v>
      </c>
      <c r="B231" s="2" t="s">
        <v>492</v>
      </c>
      <c r="C231" s="75" t="s">
        <v>493</v>
      </c>
      <c r="D231" s="70"/>
      <c r="E231" s="2" t="s">
        <v>242</v>
      </c>
      <c r="F231" s="50">
        <v>1</v>
      </c>
      <c r="G231" s="50">
        <v>0</v>
      </c>
      <c r="H231" s="50">
        <f>ROUND(F231*AO231,2)</f>
        <v>0</v>
      </c>
      <c r="I231" s="50">
        <f>ROUND(F231*AP231,2)</f>
        <v>0</v>
      </c>
      <c r="J231" s="50">
        <f>ROUND(F231*G231,2)</f>
        <v>0</v>
      </c>
      <c r="K231" s="51" t="s">
        <v>118</v>
      </c>
      <c r="Z231" s="50">
        <f>ROUND(IF(AQ231="5",BJ231,0),2)</f>
        <v>0</v>
      </c>
      <c r="AB231" s="50">
        <f>ROUND(IF(AQ231="1",BH231,0),2)</f>
        <v>0</v>
      </c>
      <c r="AC231" s="50">
        <f>ROUND(IF(AQ231="1",BI231,0),2)</f>
        <v>0</v>
      </c>
      <c r="AD231" s="50">
        <f>ROUND(IF(AQ231="7",BH231,0),2)</f>
        <v>0</v>
      </c>
      <c r="AE231" s="50">
        <f>ROUND(IF(AQ231="7",BI231,0),2)</f>
        <v>0</v>
      </c>
      <c r="AF231" s="50">
        <f>ROUND(IF(AQ231="2",BH231,0),2)</f>
        <v>0</v>
      </c>
      <c r="AG231" s="50">
        <f>ROUND(IF(AQ231="2",BI231,0),2)</f>
        <v>0</v>
      </c>
      <c r="AH231" s="50">
        <f>ROUND(IF(AQ231="0",BJ231,0),2)</f>
        <v>0</v>
      </c>
      <c r="AI231" s="32" t="s">
        <v>4</v>
      </c>
      <c r="AJ231" s="50">
        <f>IF(AN231=0,J231,0)</f>
        <v>0</v>
      </c>
      <c r="AK231" s="50">
        <f>IF(AN231=12,J231,0)</f>
        <v>0</v>
      </c>
      <c r="AL231" s="50">
        <f>IF(AN231=21,J231,0)</f>
        <v>0</v>
      </c>
      <c r="AN231" s="50">
        <v>21</v>
      </c>
      <c r="AO231" s="50">
        <f>G231*0.831822259</f>
        <v>0</v>
      </c>
      <c r="AP231" s="50">
        <f>G231*(1-0.831822259)</f>
        <v>0</v>
      </c>
      <c r="AQ231" s="52" t="s">
        <v>153</v>
      </c>
      <c r="AV231" s="50">
        <f>ROUND(AW231+AX231,2)</f>
        <v>0</v>
      </c>
      <c r="AW231" s="50">
        <f>ROUND(F231*AO231,2)</f>
        <v>0</v>
      </c>
      <c r="AX231" s="50">
        <f>ROUND(F231*AP231,2)</f>
        <v>0</v>
      </c>
      <c r="AY231" s="52" t="s">
        <v>458</v>
      </c>
      <c r="AZ231" s="52" t="s">
        <v>426</v>
      </c>
      <c r="BA231" s="32" t="s">
        <v>121</v>
      </c>
      <c r="BC231" s="50">
        <f>AW231+AX231</f>
        <v>0</v>
      </c>
      <c r="BD231" s="50">
        <f>G231/(100-BE231)*100</f>
        <v>0</v>
      </c>
      <c r="BE231" s="50">
        <v>0</v>
      </c>
      <c r="BF231" s="50">
        <f>231</f>
        <v>231</v>
      </c>
      <c r="BH231" s="50">
        <f>F231*AO231</f>
        <v>0</v>
      </c>
      <c r="BI231" s="50">
        <f>F231*AP231</f>
        <v>0</v>
      </c>
      <c r="BJ231" s="50">
        <f>F231*G231</f>
        <v>0</v>
      </c>
      <c r="BK231" s="52" t="s">
        <v>122</v>
      </c>
      <c r="BL231" s="50">
        <v>764</v>
      </c>
      <c r="BW231" s="50">
        <v>21</v>
      </c>
      <c r="BX231" s="3" t="s">
        <v>493</v>
      </c>
    </row>
    <row r="232" spans="1:76" ht="14.4" x14ac:dyDescent="0.3">
      <c r="A232" s="53"/>
      <c r="C232" s="54" t="s">
        <v>114</v>
      </c>
      <c r="D232" s="54" t="s">
        <v>4</v>
      </c>
      <c r="F232" s="55">
        <v>1</v>
      </c>
      <c r="K232" s="56"/>
    </row>
    <row r="233" spans="1:76" ht="14.4" x14ac:dyDescent="0.3">
      <c r="A233" s="1" t="s">
        <v>494</v>
      </c>
      <c r="B233" s="2" t="s">
        <v>495</v>
      </c>
      <c r="C233" s="75" t="s">
        <v>496</v>
      </c>
      <c r="D233" s="70"/>
      <c r="E233" s="2" t="s">
        <v>257</v>
      </c>
      <c r="F233" s="50">
        <v>7.1</v>
      </c>
      <c r="G233" s="50">
        <v>0</v>
      </c>
      <c r="H233" s="50">
        <f>ROUND(F233*AO233,2)</f>
        <v>0</v>
      </c>
      <c r="I233" s="50">
        <f>ROUND(F233*AP233,2)</f>
        <v>0</v>
      </c>
      <c r="J233" s="50">
        <f>ROUND(F233*G233,2)</f>
        <v>0</v>
      </c>
      <c r="K233" s="51" t="s">
        <v>253</v>
      </c>
      <c r="Z233" s="50">
        <f>ROUND(IF(AQ233="5",BJ233,0),2)</f>
        <v>0</v>
      </c>
      <c r="AB233" s="50">
        <f>ROUND(IF(AQ233="1",BH233,0),2)</f>
        <v>0</v>
      </c>
      <c r="AC233" s="50">
        <f>ROUND(IF(AQ233="1",BI233,0),2)</f>
        <v>0</v>
      </c>
      <c r="AD233" s="50">
        <f>ROUND(IF(AQ233="7",BH233,0),2)</f>
        <v>0</v>
      </c>
      <c r="AE233" s="50">
        <f>ROUND(IF(AQ233="7",BI233,0),2)</f>
        <v>0</v>
      </c>
      <c r="AF233" s="50">
        <f>ROUND(IF(AQ233="2",BH233,0),2)</f>
        <v>0</v>
      </c>
      <c r="AG233" s="50">
        <f>ROUND(IF(AQ233="2",BI233,0),2)</f>
        <v>0</v>
      </c>
      <c r="AH233" s="50">
        <f>ROUND(IF(AQ233="0",BJ233,0),2)</f>
        <v>0</v>
      </c>
      <c r="AI233" s="32" t="s">
        <v>4</v>
      </c>
      <c r="AJ233" s="50">
        <f>IF(AN233=0,J233,0)</f>
        <v>0</v>
      </c>
      <c r="AK233" s="50">
        <f>IF(AN233=12,J233,0)</f>
        <v>0</v>
      </c>
      <c r="AL233" s="50">
        <f>IF(AN233=21,J233,0)</f>
        <v>0</v>
      </c>
      <c r="AN233" s="50">
        <v>21</v>
      </c>
      <c r="AO233" s="50">
        <f>G233*0.093020598</f>
        <v>0</v>
      </c>
      <c r="AP233" s="50">
        <f>G233*(1-0.093020598)</f>
        <v>0</v>
      </c>
      <c r="AQ233" s="52" t="s">
        <v>153</v>
      </c>
      <c r="AV233" s="50">
        <f>ROUND(AW233+AX233,2)</f>
        <v>0</v>
      </c>
      <c r="AW233" s="50">
        <f>ROUND(F233*AO233,2)</f>
        <v>0</v>
      </c>
      <c r="AX233" s="50">
        <f>ROUND(F233*AP233,2)</f>
        <v>0</v>
      </c>
      <c r="AY233" s="52" t="s">
        <v>458</v>
      </c>
      <c r="AZ233" s="52" t="s">
        <v>426</v>
      </c>
      <c r="BA233" s="32" t="s">
        <v>121</v>
      </c>
      <c r="BC233" s="50">
        <f>AW233+AX233</f>
        <v>0</v>
      </c>
      <c r="BD233" s="50">
        <f>G233/(100-BE233)*100</f>
        <v>0</v>
      </c>
      <c r="BE233" s="50">
        <v>0</v>
      </c>
      <c r="BF233" s="50">
        <f>233</f>
        <v>233</v>
      </c>
      <c r="BH233" s="50">
        <f>F233*AO233</f>
        <v>0</v>
      </c>
      <c r="BI233" s="50">
        <f>F233*AP233</f>
        <v>0</v>
      </c>
      <c r="BJ233" s="50">
        <f>F233*G233</f>
        <v>0</v>
      </c>
      <c r="BK233" s="52" t="s">
        <v>122</v>
      </c>
      <c r="BL233" s="50">
        <v>764</v>
      </c>
      <c r="BW233" s="50">
        <v>21</v>
      </c>
      <c r="BX233" s="3" t="s">
        <v>496</v>
      </c>
    </row>
    <row r="234" spans="1:76" ht="14.4" x14ac:dyDescent="0.3">
      <c r="A234" s="53"/>
      <c r="C234" s="54" t="s">
        <v>497</v>
      </c>
      <c r="D234" s="54" t="s">
        <v>4</v>
      </c>
      <c r="F234" s="55">
        <v>7.1</v>
      </c>
      <c r="K234" s="56"/>
    </row>
    <row r="235" spans="1:76" ht="14.4" x14ac:dyDescent="0.3">
      <c r="A235" s="1" t="s">
        <v>498</v>
      </c>
      <c r="B235" s="2" t="s">
        <v>499</v>
      </c>
      <c r="C235" s="75" t="s">
        <v>500</v>
      </c>
      <c r="D235" s="70"/>
      <c r="E235" s="2" t="s">
        <v>242</v>
      </c>
      <c r="F235" s="50">
        <v>3.55</v>
      </c>
      <c r="G235" s="50">
        <v>0</v>
      </c>
      <c r="H235" s="50">
        <f>ROUND(F235*AO235,2)</f>
        <v>0</v>
      </c>
      <c r="I235" s="50">
        <f>ROUND(F235*AP235,2)</f>
        <v>0</v>
      </c>
      <c r="J235" s="50">
        <f>ROUND(F235*G235,2)</f>
        <v>0</v>
      </c>
      <c r="K235" s="51" t="s">
        <v>253</v>
      </c>
      <c r="Z235" s="50">
        <f>ROUND(IF(AQ235="5",BJ235,0),2)</f>
        <v>0</v>
      </c>
      <c r="AB235" s="50">
        <f>ROUND(IF(AQ235="1",BH235,0),2)</f>
        <v>0</v>
      </c>
      <c r="AC235" s="50">
        <f>ROUND(IF(AQ235="1",BI235,0),2)</f>
        <v>0</v>
      </c>
      <c r="AD235" s="50">
        <f>ROUND(IF(AQ235="7",BH235,0),2)</f>
        <v>0</v>
      </c>
      <c r="AE235" s="50">
        <f>ROUND(IF(AQ235="7",BI235,0),2)</f>
        <v>0</v>
      </c>
      <c r="AF235" s="50">
        <f>ROUND(IF(AQ235="2",BH235,0),2)</f>
        <v>0</v>
      </c>
      <c r="AG235" s="50">
        <f>ROUND(IF(AQ235="2",BI235,0),2)</f>
        <v>0</v>
      </c>
      <c r="AH235" s="50">
        <f>ROUND(IF(AQ235="0",BJ235,0),2)</f>
        <v>0</v>
      </c>
      <c r="AI235" s="32" t="s">
        <v>4</v>
      </c>
      <c r="AJ235" s="50">
        <f>IF(AN235=0,J235,0)</f>
        <v>0</v>
      </c>
      <c r="AK235" s="50">
        <f>IF(AN235=12,J235,0)</f>
        <v>0</v>
      </c>
      <c r="AL235" s="50">
        <f>IF(AN235=21,J235,0)</f>
        <v>0</v>
      </c>
      <c r="AN235" s="50">
        <v>21</v>
      </c>
      <c r="AO235" s="50">
        <f>G235*1</f>
        <v>0</v>
      </c>
      <c r="AP235" s="50">
        <f>G235*(1-1)</f>
        <v>0</v>
      </c>
      <c r="AQ235" s="52" t="s">
        <v>153</v>
      </c>
      <c r="AV235" s="50">
        <f>ROUND(AW235+AX235,2)</f>
        <v>0</v>
      </c>
      <c r="AW235" s="50">
        <f>ROUND(F235*AO235,2)</f>
        <v>0</v>
      </c>
      <c r="AX235" s="50">
        <f>ROUND(F235*AP235,2)</f>
        <v>0</v>
      </c>
      <c r="AY235" s="52" t="s">
        <v>458</v>
      </c>
      <c r="AZ235" s="52" t="s">
        <v>426</v>
      </c>
      <c r="BA235" s="32" t="s">
        <v>121</v>
      </c>
      <c r="BC235" s="50">
        <f>AW235+AX235</f>
        <v>0</v>
      </c>
      <c r="BD235" s="50">
        <f>G235/(100-BE235)*100</f>
        <v>0</v>
      </c>
      <c r="BE235" s="50">
        <v>0</v>
      </c>
      <c r="BF235" s="50">
        <f>235</f>
        <v>235</v>
      </c>
      <c r="BH235" s="50">
        <f>F235*AO235</f>
        <v>0</v>
      </c>
      <c r="BI235" s="50">
        <f>F235*AP235</f>
        <v>0</v>
      </c>
      <c r="BJ235" s="50">
        <f>F235*G235</f>
        <v>0</v>
      </c>
      <c r="BK235" s="52" t="s">
        <v>183</v>
      </c>
      <c r="BL235" s="50">
        <v>764</v>
      </c>
      <c r="BW235" s="50">
        <v>21</v>
      </c>
      <c r="BX235" s="3" t="s">
        <v>500</v>
      </c>
    </row>
    <row r="236" spans="1:76" ht="14.4" x14ac:dyDescent="0.3">
      <c r="A236" s="53"/>
      <c r="C236" s="54" t="s">
        <v>501</v>
      </c>
      <c r="D236" s="54" t="s">
        <v>4</v>
      </c>
      <c r="F236" s="55">
        <v>3.55</v>
      </c>
      <c r="K236" s="56"/>
    </row>
    <row r="237" spans="1:76" ht="14.4" x14ac:dyDescent="0.3">
      <c r="A237" s="1" t="s">
        <v>440</v>
      </c>
      <c r="B237" s="2" t="s">
        <v>502</v>
      </c>
      <c r="C237" s="75" t="s">
        <v>503</v>
      </c>
      <c r="D237" s="70"/>
      <c r="E237" s="2" t="s">
        <v>242</v>
      </c>
      <c r="F237" s="50">
        <v>4</v>
      </c>
      <c r="G237" s="50">
        <v>0</v>
      </c>
      <c r="H237" s="50">
        <f>ROUND(F237*AO237,2)</f>
        <v>0</v>
      </c>
      <c r="I237" s="50">
        <f>ROUND(F237*AP237,2)</f>
        <v>0</v>
      </c>
      <c r="J237" s="50">
        <f>ROUND(F237*G237,2)</f>
        <v>0</v>
      </c>
      <c r="K237" s="51" t="s">
        <v>253</v>
      </c>
      <c r="Z237" s="50">
        <f>ROUND(IF(AQ237="5",BJ237,0),2)</f>
        <v>0</v>
      </c>
      <c r="AB237" s="50">
        <f>ROUND(IF(AQ237="1",BH237,0),2)</f>
        <v>0</v>
      </c>
      <c r="AC237" s="50">
        <f>ROUND(IF(AQ237="1",BI237,0),2)</f>
        <v>0</v>
      </c>
      <c r="AD237" s="50">
        <f>ROUND(IF(AQ237="7",BH237,0),2)</f>
        <v>0</v>
      </c>
      <c r="AE237" s="50">
        <f>ROUND(IF(AQ237="7",BI237,0),2)</f>
        <v>0</v>
      </c>
      <c r="AF237" s="50">
        <f>ROUND(IF(AQ237="2",BH237,0),2)</f>
        <v>0</v>
      </c>
      <c r="AG237" s="50">
        <f>ROUND(IF(AQ237="2",BI237,0),2)</f>
        <v>0</v>
      </c>
      <c r="AH237" s="50">
        <f>ROUND(IF(AQ237="0",BJ237,0),2)</f>
        <v>0</v>
      </c>
      <c r="AI237" s="32" t="s">
        <v>4</v>
      </c>
      <c r="AJ237" s="50">
        <f>IF(AN237=0,J237,0)</f>
        <v>0</v>
      </c>
      <c r="AK237" s="50">
        <f>IF(AN237=12,J237,0)</f>
        <v>0</v>
      </c>
      <c r="AL237" s="50">
        <f>IF(AN237=21,J237,0)</f>
        <v>0</v>
      </c>
      <c r="AN237" s="50">
        <v>21</v>
      </c>
      <c r="AO237" s="50">
        <f>G237*0.850536785</f>
        <v>0</v>
      </c>
      <c r="AP237" s="50">
        <f>G237*(1-0.850536785)</f>
        <v>0</v>
      </c>
      <c r="AQ237" s="52" t="s">
        <v>153</v>
      </c>
      <c r="AV237" s="50">
        <f>ROUND(AW237+AX237,2)</f>
        <v>0</v>
      </c>
      <c r="AW237" s="50">
        <f>ROUND(F237*AO237,2)</f>
        <v>0</v>
      </c>
      <c r="AX237" s="50">
        <f>ROUND(F237*AP237,2)</f>
        <v>0</v>
      </c>
      <c r="AY237" s="52" t="s">
        <v>458</v>
      </c>
      <c r="AZ237" s="52" t="s">
        <v>426</v>
      </c>
      <c r="BA237" s="32" t="s">
        <v>121</v>
      </c>
      <c r="BC237" s="50">
        <f>AW237+AX237</f>
        <v>0</v>
      </c>
      <c r="BD237" s="50">
        <f>G237/(100-BE237)*100</f>
        <v>0</v>
      </c>
      <c r="BE237" s="50">
        <v>0</v>
      </c>
      <c r="BF237" s="50">
        <f>237</f>
        <v>237</v>
      </c>
      <c r="BH237" s="50">
        <f>F237*AO237</f>
        <v>0</v>
      </c>
      <c r="BI237" s="50">
        <f>F237*AP237</f>
        <v>0</v>
      </c>
      <c r="BJ237" s="50">
        <f>F237*G237</f>
        <v>0</v>
      </c>
      <c r="BK237" s="52" t="s">
        <v>122</v>
      </c>
      <c r="BL237" s="50">
        <v>764</v>
      </c>
      <c r="BW237" s="50">
        <v>21</v>
      </c>
      <c r="BX237" s="3" t="s">
        <v>503</v>
      </c>
    </row>
    <row r="238" spans="1:76" ht="13.5" customHeight="1" x14ac:dyDescent="0.3">
      <c r="A238" s="53"/>
      <c r="B238" s="57" t="s">
        <v>157</v>
      </c>
      <c r="C238" s="150" t="s">
        <v>504</v>
      </c>
      <c r="D238" s="151"/>
      <c r="E238" s="151"/>
      <c r="F238" s="151"/>
      <c r="G238" s="151"/>
      <c r="H238" s="151"/>
      <c r="I238" s="151"/>
      <c r="J238" s="151"/>
      <c r="K238" s="152"/>
    </row>
    <row r="239" spans="1:76" ht="14.4" x14ac:dyDescent="0.3">
      <c r="A239" s="53"/>
      <c r="C239" s="54" t="s">
        <v>134</v>
      </c>
      <c r="D239" s="54" t="s">
        <v>4</v>
      </c>
      <c r="F239" s="55">
        <v>4</v>
      </c>
      <c r="K239" s="56"/>
    </row>
    <row r="240" spans="1:76" ht="14.4" x14ac:dyDescent="0.3">
      <c r="A240" s="1" t="s">
        <v>505</v>
      </c>
      <c r="B240" s="2" t="s">
        <v>506</v>
      </c>
      <c r="C240" s="75" t="s">
        <v>507</v>
      </c>
      <c r="D240" s="70"/>
      <c r="E240" s="2" t="s">
        <v>219</v>
      </c>
      <c r="F240" s="50">
        <v>0.10405</v>
      </c>
      <c r="G240" s="50">
        <v>0</v>
      </c>
      <c r="H240" s="50">
        <f>ROUND(F240*AO240,2)</f>
        <v>0</v>
      </c>
      <c r="I240" s="50">
        <f>ROUND(F240*AP240,2)</f>
        <v>0</v>
      </c>
      <c r="J240" s="50">
        <f>ROUND(F240*G240,2)</f>
        <v>0</v>
      </c>
      <c r="K240" s="51" t="s">
        <v>118</v>
      </c>
      <c r="Z240" s="50">
        <f>ROUND(IF(AQ240="5",BJ240,0),2)</f>
        <v>0</v>
      </c>
      <c r="AB240" s="50">
        <f>ROUND(IF(AQ240="1",BH240,0),2)</f>
        <v>0</v>
      </c>
      <c r="AC240" s="50">
        <f>ROUND(IF(AQ240="1",BI240,0),2)</f>
        <v>0</v>
      </c>
      <c r="AD240" s="50">
        <f>ROUND(IF(AQ240="7",BH240,0),2)</f>
        <v>0</v>
      </c>
      <c r="AE240" s="50">
        <f>ROUND(IF(AQ240="7",BI240,0),2)</f>
        <v>0</v>
      </c>
      <c r="AF240" s="50">
        <f>ROUND(IF(AQ240="2",BH240,0),2)</f>
        <v>0</v>
      </c>
      <c r="AG240" s="50">
        <f>ROUND(IF(AQ240="2",BI240,0),2)</f>
        <v>0</v>
      </c>
      <c r="AH240" s="50">
        <f>ROUND(IF(AQ240="0",BJ240,0),2)</f>
        <v>0</v>
      </c>
      <c r="AI240" s="32" t="s">
        <v>4</v>
      </c>
      <c r="AJ240" s="50">
        <f>IF(AN240=0,J240,0)</f>
        <v>0</v>
      </c>
      <c r="AK240" s="50">
        <f>IF(AN240=12,J240,0)</f>
        <v>0</v>
      </c>
      <c r="AL240" s="50">
        <f>IF(AN240=21,J240,0)</f>
        <v>0</v>
      </c>
      <c r="AN240" s="50">
        <v>21</v>
      </c>
      <c r="AO240" s="50">
        <f>G240*0</f>
        <v>0</v>
      </c>
      <c r="AP240" s="50">
        <f>G240*(1-0)</f>
        <v>0</v>
      </c>
      <c r="AQ240" s="52" t="s">
        <v>139</v>
      </c>
      <c r="AV240" s="50">
        <f>ROUND(AW240+AX240,2)</f>
        <v>0</v>
      </c>
      <c r="AW240" s="50">
        <f>ROUND(F240*AO240,2)</f>
        <v>0</v>
      </c>
      <c r="AX240" s="50">
        <f>ROUND(F240*AP240,2)</f>
        <v>0</v>
      </c>
      <c r="AY240" s="52" t="s">
        <v>458</v>
      </c>
      <c r="AZ240" s="52" t="s">
        <v>426</v>
      </c>
      <c r="BA240" s="32" t="s">
        <v>121</v>
      </c>
      <c r="BC240" s="50">
        <f>AW240+AX240</f>
        <v>0</v>
      </c>
      <c r="BD240" s="50">
        <f>G240/(100-BE240)*100</f>
        <v>0</v>
      </c>
      <c r="BE240" s="50">
        <v>0</v>
      </c>
      <c r="BF240" s="50">
        <f>240</f>
        <v>240</v>
      </c>
      <c r="BH240" s="50">
        <f>F240*AO240</f>
        <v>0</v>
      </c>
      <c r="BI240" s="50">
        <f>F240*AP240</f>
        <v>0</v>
      </c>
      <c r="BJ240" s="50">
        <f>F240*G240</f>
        <v>0</v>
      </c>
      <c r="BK240" s="52" t="s">
        <v>122</v>
      </c>
      <c r="BL240" s="50">
        <v>764</v>
      </c>
      <c r="BW240" s="50">
        <v>21</v>
      </c>
      <c r="BX240" s="3" t="s">
        <v>507</v>
      </c>
    </row>
    <row r="241" spans="1:76" ht="14.4" x14ac:dyDescent="0.3">
      <c r="A241" s="46" t="s">
        <v>4</v>
      </c>
      <c r="B241" s="47" t="s">
        <v>508</v>
      </c>
      <c r="C241" s="148" t="s">
        <v>509</v>
      </c>
      <c r="D241" s="149"/>
      <c r="E241" s="48" t="s">
        <v>79</v>
      </c>
      <c r="F241" s="48" t="s">
        <v>79</v>
      </c>
      <c r="G241" s="48" t="s">
        <v>79</v>
      </c>
      <c r="H241" s="26">
        <f>ROUND(SUM(H242:H245),2)</f>
        <v>0</v>
      </c>
      <c r="I241" s="26">
        <f>ROUND(SUM(I242:I245),2)</f>
        <v>0</v>
      </c>
      <c r="J241" s="26">
        <f>ROUND(SUM(J242:J245),2)</f>
        <v>0</v>
      </c>
      <c r="K241" s="49" t="s">
        <v>4</v>
      </c>
      <c r="AI241" s="32" t="s">
        <v>4</v>
      </c>
      <c r="AS241" s="26">
        <f>SUM(AJ242:AJ245)</f>
        <v>0</v>
      </c>
      <c r="AT241" s="26">
        <f>SUM(AK242:AK245)</f>
        <v>0</v>
      </c>
      <c r="AU241" s="26">
        <f>SUM(AL242:AL245)</f>
        <v>0</v>
      </c>
    </row>
    <row r="242" spans="1:76" ht="14.4" x14ac:dyDescent="0.3">
      <c r="A242" s="1" t="s">
        <v>510</v>
      </c>
      <c r="B242" s="2" t="s">
        <v>511</v>
      </c>
      <c r="C242" s="75" t="s">
        <v>512</v>
      </c>
      <c r="D242" s="70"/>
      <c r="E242" s="2" t="s">
        <v>177</v>
      </c>
      <c r="F242" s="50">
        <v>70.06</v>
      </c>
      <c r="G242" s="50">
        <v>0</v>
      </c>
      <c r="H242" s="50">
        <f>ROUND(F242*AO242,2)</f>
        <v>0</v>
      </c>
      <c r="I242" s="50">
        <f>ROUND(F242*AP242,2)</f>
        <v>0</v>
      </c>
      <c r="J242" s="50">
        <f>ROUND(F242*G242,2)</f>
        <v>0</v>
      </c>
      <c r="K242" s="51" t="s">
        <v>118</v>
      </c>
      <c r="Z242" s="50">
        <f>ROUND(IF(AQ242="5",BJ242,0),2)</f>
        <v>0</v>
      </c>
      <c r="AB242" s="50">
        <f>ROUND(IF(AQ242="1",BH242,0),2)</f>
        <v>0</v>
      </c>
      <c r="AC242" s="50">
        <f>ROUND(IF(AQ242="1",BI242,0),2)</f>
        <v>0</v>
      </c>
      <c r="AD242" s="50">
        <f>ROUND(IF(AQ242="7",BH242,0),2)</f>
        <v>0</v>
      </c>
      <c r="AE242" s="50">
        <f>ROUND(IF(AQ242="7",BI242,0),2)</f>
        <v>0</v>
      </c>
      <c r="AF242" s="50">
        <f>ROUND(IF(AQ242="2",BH242,0),2)</f>
        <v>0</v>
      </c>
      <c r="AG242" s="50">
        <f>ROUND(IF(AQ242="2",BI242,0),2)</f>
        <v>0</v>
      </c>
      <c r="AH242" s="50">
        <f>ROUND(IF(AQ242="0",BJ242,0),2)</f>
        <v>0</v>
      </c>
      <c r="AI242" s="32" t="s">
        <v>4</v>
      </c>
      <c r="AJ242" s="50">
        <f>IF(AN242=0,J242,0)</f>
        <v>0</v>
      </c>
      <c r="AK242" s="50">
        <f>IF(AN242=12,J242,0)</f>
        <v>0</v>
      </c>
      <c r="AL242" s="50">
        <f>IF(AN242=21,J242,0)</f>
        <v>0</v>
      </c>
      <c r="AN242" s="50">
        <v>21</v>
      </c>
      <c r="AO242" s="50">
        <f>G242*0.247743648</f>
        <v>0</v>
      </c>
      <c r="AP242" s="50">
        <f>G242*(1-0.247743648)</f>
        <v>0</v>
      </c>
      <c r="AQ242" s="52" t="s">
        <v>153</v>
      </c>
      <c r="AV242" s="50">
        <f>ROUND(AW242+AX242,2)</f>
        <v>0</v>
      </c>
      <c r="AW242" s="50">
        <f>ROUND(F242*AO242,2)</f>
        <v>0</v>
      </c>
      <c r="AX242" s="50">
        <f>ROUND(F242*AP242,2)</f>
        <v>0</v>
      </c>
      <c r="AY242" s="52" t="s">
        <v>513</v>
      </c>
      <c r="AZ242" s="52" t="s">
        <v>426</v>
      </c>
      <c r="BA242" s="32" t="s">
        <v>121</v>
      </c>
      <c r="BC242" s="50">
        <f>AW242+AX242</f>
        <v>0</v>
      </c>
      <c r="BD242" s="50">
        <f>G242/(100-BE242)*100</f>
        <v>0</v>
      </c>
      <c r="BE242" s="50">
        <v>0</v>
      </c>
      <c r="BF242" s="50">
        <f>242</f>
        <v>242</v>
      </c>
      <c r="BH242" s="50">
        <f>F242*AO242</f>
        <v>0</v>
      </c>
      <c r="BI242" s="50">
        <f>F242*AP242</f>
        <v>0</v>
      </c>
      <c r="BJ242" s="50">
        <f>F242*G242</f>
        <v>0</v>
      </c>
      <c r="BK242" s="52" t="s">
        <v>122</v>
      </c>
      <c r="BL242" s="50">
        <v>765</v>
      </c>
      <c r="BW242" s="50">
        <v>21</v>
      </c>
      <c r="BX242" s="3" t="s">
        <v>512</v>
      </c>
    </row>
    <row r="243" spans="1:76" ht="13.5" customHeight="1" x14ac:dyDescent="0.3">
      <c r="A243" s="53"/>
      <c r="B243" s="57" t="s">
        <v>157</v>
      </c>
      <c r="C243" s="150" t="s">
        <v>514</v>
      </c>
      <c r="D243" s="151"/>
      <c r="E243" s="151"/>
      <c r="F243" s="151"/>
      <c r="G243" s="151"/>
      <c r="H243" s="151"/>
      <c r="I243" s="151"/>
      <c r="J243" s="151"/>
      <c r="K243" s="152"/>
    </row>
    <row r="244" spans="1:76" ht="14.4" x14ac:dyDescent="0.3">
      <c r="A244" s="53"/>
      <c r="C244" s="54" t="s">
        <v>445</v>
      </c>
      <c r="D244" s="54" t="s">
        <v>4</v>
      </c>
      <c r="F244" s="55">
        <v>70.06</v>
      </c>
      <c r="K244" s="56"/>
    </row>
    <row r="245" spans="1:76" ht="14.4" x14ac:dyDescent="0.3">
      <c r="A245" s="1" t="s">
        <v>515</v>
      </c>
      <c r="B245" s="2" t="s">
        <v>516</v>
      </c>
      <c r="C245" s="75" t="s">
        <v>517</v>
      </c>
      <c r="D245" s="70"/>
      <c r="E245" s="2" t="s">
        <v>219</v>
      </c>
      <c r="F245" s="50">
        <v>1.401E-2</v>
      </c>
      <c r="G245" s="50">
        <v>0</v>
      </c>
      <c r="H245" s="50">
        <f>ROUND(F245*AO245,2)</f>
        <v>0</v>
      </c>
      <c r="I245" s="50">
        <f>ROUND(F245*AP245,2)</f>
        <v>0</v>
      </c>
      <c r="J245" s="50">
        <f>ROUND(F245*G245,2)</f>
        <v>0</v>
      </c>
      <c r="K245" s="51" t="s">
        <v>118</v>
      </c>
      <c r="Z245" s="50">
        <f>ROUND(IF(AQ245="5",BJ245,0),2)</f>
        <v>0</v>
      </c>
      <c r="AB245" s="50">
        <f>ROUND(IF(AQ245="1",BH245,0),2)</f>
        <v>0</v>
      </c>
      <c r="AC245" s="50">
        <f>ROUND(IF(AQ245="1",BI245,0),2)</f>
        <v>0</v>
      </c>
      <c r="AD245" s="50">
        <f>ROUND(IF(AQ245="7",BH245,0),2)</f>
        <v>0</v>
      </c>
      <c r="AE245" s="50">
        <f>ROUND(IF(AQ245="7",BI245,0),2)</f>
        <v>0</v>
      </c>
      <c r="AF245" s="50">
        <f>ROUND(IF(AQ245="2",BH245,0),2)</f>
        <v>0</v>
      </c>
      <c r="AG245" s="50">
        <f>ROUND(IF(AQ245="2",BI245,0),2)</f>
        <v>0</v>
      </c>
      <c r="AH245" s="50">
        <f>ROUND(IF(AQ245="0",BJ245,0),2)</f>
        <v>0</v>
      </c>
      <c r="AI245" s="32" t="s">
        <v>4</v>
      </c>
      <c r="AJ245" s="50">
        <f>IF(AN245=0,J245,0)</f>
        <v>0</v>
      </c>
      <c r="AK245" s="50">
        <f>IF(AN245=12,J245,0)</f>
        <v>0</v>
      </c>
      <c r="AL245" s="50">
        <f>IF(AN245=21,J245,0)</f>
        <v>0</v>
      </c>
      <c r="AN245" s="50">
        <v>21</v>
      </c>
      <c r="AO245" s="50">
        <f>G245*0</f>
        <v>0</v>
      </c>
      <c r="AP245" s="50">
        <f>G245*(1-0)</f>
        <v>0</v>
      </c>
      <c r="AQ245" s="52" t="s">
        <v>139</v>
      </c>
      <c r="AV245" s="50">
        <f>ROUND(AW245+AX245,2)</f>
        <v>0</v>
      </c>
      <c r="AW245" s="50">
        <f>ROUND(F245*AO245,2)</f>
        <v>0</v>
      </c>
      <c r="AX245" s="50">
        <f>ROUND(F245*AP245,2)</f>
        <v>0</v>
      </c>
      <c r="AY245" s="52" t="s">
        <v>513</v>
      </c>
      <c r="AZ245" s="52" t="s">
        <v>426</v>
      </c>
      <c r="BA245" s="32" t="s">
        <v>121</v>
      </c>
      <c r="BC245" s="50">
        <f>AW245+AX245</f>
        <v>0</v>
      </c>
      <c r="BD245" s="50">
        <f>G245/(100-BE245)*100</f>
        <v>0</v>
      </c>
      <c r="BE245" s="50">
        <v>0</v>
      </c>
      <c r="BF245" s="50">
        <f>245</f>
        <v>245</v>
      </c>
      <c r="BH245" s="50">
        <f>F245*AO245</f>
        <v>0</v>
      </c>
      <c r="BI245" s="50">
        <f>F245*AP245</f>
        <v>0</v>
      </c>
      <c r="BJ245" s="50">
        <f>F245*G245</f>
        <v>0</v>
      </c>
      <c r="BK245" s="52" t="s">
        <v>122</v>
      </c>
      <c r="BL245" s="50">
        <v>765</v>
      </c>
      <c r="BW245" s="50">
        <v>21</v>
      </c>
      <c r="BX245" s="3" t="s">
        <v>517</v>
      </c>
    </row>
    <row r="246" spans="1:76" ht="14.4" x14ac:dyDescent="0.3">
      <c r="A246" s="46" t="s">
        <v>4</v>
      </c>
      <c r="B246" s="47" t="s">
        <v>518</v>
      </c>
      <c r="C246" s="148" t="s">
        <v>519</v>
      </c>
      <c r="D246" s="149"/>
      <c r="E246" s="48" t="s">
        <v>79</v>
      </c>
      <c r="F246" s="48" t="s">
        <v>79</v>
      </c>
      <c r="G246" s="48" t="s">
        <v>79</v>
      </c>
      <c r="H246" s="26">
        <f>ROUND(SUM(H247:H266),2)</f>
        <v>0</v>
      </c>
      <c r="I246" s="26">
        <f>ROUND(SUM(I247:I266),2)</f>
        <v>0</v>
      </c>
      <c r="J246" s="26">
        <f>ROUND(SUM(J247:J266),2)</f>
        <v>0</v>
      </c>
      <c r="K246" s="49" t="s">
        <v>4</v>
      </c>
      <c r="AI246" s="32" t="s">
        <v>4</v>
      </c>
      <c r="AS246" s="26">
        <f>SUM(AJ247:AJ266)</f>
        <v>0</v>
      </c>
      <c r="AT246" s="26">
        <f>SUM(AK247:AK266)</f>
        <v>0</v>
      </c>
      <c r="AU246" s="26">
        <f>SUM(AL247:AL266)</f>
        <v>0</v>
      </c>
    </row>
    <row r="247" spans="1:76" ht="14.4" x14ac:dyDescent="0.3">
      <c r="A247" s="1" t="s">
        <v>520</v>
      </c>
      <c r="B247" s="2" t="s">
        <v>521</v>
      </c>
      <c r="C247" s="75" t="s">
        <v>522</v>
      </c>
      <c r="D247" s="70"/>
      <c r="E247" s="2" t="s">
        <v>257</v>
      </c>
      <c r="F247" s="50">
        <v>11.2</v>
      </c>
      <c r="G247" s="50">
        <v>0</v>
      </c>
      <c r="H247" s="50">
        <f>ROUND(F247*AO247,2)</f>
        <v>0</v>
      </c>
      <c r="I247" s="50">
        <f>ROUND(F247*AP247,2)</f>
        <v>0</v>
      </c>
      <c r="J247" s="50">
        <f>ROUND(F247*G247,2)</f>
        <v>0</v>
      </c>
      <c r="K247" s="51" t="s">
        <v>118</v>
      </c>
      <c r="Z247" s="50">
        <f>ROUND(IF(AQ247="5",BJ247,0),2)</f>
        <v>0</v>
      </c>
      <c r="AB247" s="50">
        <f>ROUND(IF(AQ247="1",BH247,0),2)</f>
        <v>0</v>
      </c>
      <c r="AC247" s="50">
        <f>ROUND(IF(AQ247="1",BI247,0),2)</f>
        <v>0</v>
      </c>
      <c r="AD247" s="50">
        <f>ROUND(IF(AQ247="7",BH247,0),2)</f>
        <v>0</v>
      </c>
      <c r="AE247" s="50">
        <f>ROUND(IF(AQ247="7",BI247,0),2)</f>
        <v>0</v>
      </c>
      <c r="AF247" s="50">
        <f>ROUND(IF(AQ247="2",BH247,0),2)</f>
        <v>0</v>
      </c>
      <c r="AG247" s="50">
        <f>ROUND(IF(AQ247="2",BI247,0),2)</f>
        <v>0</v>
      </c>
      <c r="AH247" s="50">
        <f>ROUND(IF(AQ247="0",BJ247,0),2)</f>
        <v>0</v>
      </c>
      <c r="AI247" s="32" t="s">
        <v>4</v>
      </c>
      <c r="AJ247" s="50">
        <f>IF(AN247=0,J247,0)</f>
        <v>0</v>
      </c>
      <c r="AK247" s="50">
        <f>IF(AN247=12,J247,0)</f>
        <v>0</v>
      </c>
      <c r="AL247" s="50">
        <f>IF(AN247=21,J247,0)</f>
        <v>0</v>
      </c>
      <c r="AN247" s="50">
        <v>21</v>
      </c>
      <c r="AO247" s="50">
        <f>G247*0.12984096</f>
        <v>0</v>
      </c>
      <c r="AP247" s="50">
        <f>G247*(1-0.12984096)</f>
        <v>0</v>
      </c>
      <c r="AQ247" s="52" t="s">
        <v>153</v>
      </c>
      <c r="AV247" s="50">
        <f>ROUND(AW247+AX247,2)</f>
        <v>0</v>
      </c>
      <c r="AW247" s="50">
        <f>ROUND(F247*AO247,2)</f>
        <v>0</v>
      </c>
      <c r="AX247" s="50">
        <f>ROUND(F247*AP247,2)</f>
        <v>0</v>
      </c>
      <c r="AY247" s="52" t="s">
        <v>523</v>
      </c>
      <c r="AZ247" s="52" t="s">
        <v>426</v>
      </c>
      <c r="BA247" s="32" t="s">
        <v>121</v>
      </c>
      <c r="BC247" s="50">
        <f>AW247+AX247</f>
        <v>0</v>
      </c>
      <c r="BD247" s="50">
        <f>G247/(100-BE247)*100</f>
        <v>0</v>
      </c>
      <c r="BE247" s="50">
        <v>0</v>
      </c>
      <c r="BF247" s="50">
        <f>247</f>
        <v>247</v>
      </c>
      <c r="BH247" s="50">
        <f>F247*AO247</f>
        <v>0</v>
      </c>
      <c r="BI247" s="50">
        <f>F247*AP247</f>
        <v>0</v>
      </c>
      <c r="BJ247" s="50">
        <f>F247*G247</f>
        <v>0</v>
      </c>
      <c r="BK247" s="52" t="s">
        <v>122</v>
      </c>
      <c r="BL247" s="50">
        <v>766</v>
      </c>
      <c r="BW247" s="50">
        <v>21</v>
      </c>
      <c r="BX247" s="3" t="s">
        <v>522</v>
      </c>
    </row>
    <row r="248" spans="1:76" ht="14.4" x14ac:dyDescent="0.3">
      <c r="A248" s="53"/>
      <c r="C248" s="54" t="s">
        <v>524</v>
      </c>
      <c r="D248" s="54" t="s">
        <v>4</v>
      </c>
      <c r="F248" s="55">
        <v>11.2</v>
      </c>
      <c r="K248" s="56"/>
    </row>
    <row r="249" spans="1:76" ht="14.4" x14ac:dyDescent="0.3">
      <c r="A249" s="1" t="s">
        <v>525</v>
      </c>
      <c r="B249" s="2" t="s">
        <v>526</v>
      </c>
      <c r="C249" s="75" t="s">
        <v>527</v>
      </c>
      <c r="D249" s="70"/>
      <c r="E249" s="2" t="s">
        <v>257</v>
      </c>
      <c r="F249" s="50">
        <v>11.76</v>
      </c>
      <c r="G249" s="50">
        <v>0</v>
      </c>
      <c r="H249" s="50">
        <f>ROUND(F249*AO249,2)</f>
        <v>0</v>
      </c>
      <c r="I249" s="50">
        <f>ROUND(F249*AP249,2)</f>
        <v>0</v>
      </c>
      <c r="J249" s="50">
        <f>ROUND(F249*G249,2)</f>
        <v>0</v>
      </c>
      <c r="K249" s="51" t="s">
        <v>118</v>
      </c>
      <c r="Z249" s="50">
        <f>ROUND(IF(AQ249="5",BJ249,0),2)</f>
        <v>0</v>
      </c>
      <c r="AB249" s="50">
        <f>ROUND(IF(AQ249="1",BH249,0),2)</f>
        <v>0</v>
      </c>
      <c r="AC249" s="50">
        <f>ROUND(IF(AQ249="1",BI249,0),2)</f>
        <v>0</v>
      </c>
      <c r="AD249" s="50">
        <f>ROUND(IF(AQ249="7",BH249,0),2)</f>
        <v>0</v>
      </c>
      <c r="AE249" s="50">
        <f>ROUND(IF(AQ249="7",BI249,0),2)</f>
        <v>0</v>
      </c>
      <c r="AF249" s="50">
        <f>ROUND(IF(AQ249="2",BH249,0),2)</f>
        <v>0</v>
      </c>
      <c r="AG249" s="50">
        <f>ROUND(IF(AQ249="2",BI249,0),2)</f>
        <v>0</v>
      </c>
      <c r="AH249" s="50">
        <f>ROUND(IF(AQ249="0",BJ249,0),2)</f>
        <v>0</v>
      </c>
      <c r="AI249" s="32" t="s">
        <v>4</v>
      </c>
      <c r="AJ249" s="50">
        <f>IF(AN249=0,J249,0)</f>
        <v>0</v>
      </c>
      <c r="AK249" s="50">
        <f>IF(AN249=12,J249,0)</f>
        <v>0</v>
      </c>
      <c r="AL249" s="50">
        <f>IF(AN249=21,J249,0)</f>
        <v>0</v>
      </c>
      <c r="AN249" s="50">
        <v>21</v>
      </c>
      <c r="AO249" s="50">
        <f>G249*1</f>
        <v>0</v>
      </c>
      <c r="AP249" s="50">
        <f>G249*(1-1)</f>
        <v>0</v>
      </c>
      <c r="AQ249" s="52" t="s">
        <v>153</v>
      </c>
      <c r="AV249" s="50">
        <f>ROUND(AW249+AX249,2)</f>
        <v>0</v>
      </c>
      <c r="AW249" s="50">
        <f>ROUND(F249*AO249,2)</f>
        <v>0</v>
      </c>
      <c r="AX249" s="50">
        <f>ROUND(F249*AP249,2)</f>
        <v>0</v>
      </c>
      <c r="AY249" s="52" t="s">
        <v>523</v>
      </c>
      <c r="AZ249" s="52" t="s">
        <v>426</v>
      </c>
      <c r="BA249" s="32" t="s">
        <v>121</v>
      </c>
      <c r="BC249" s="50">
        <f>AW249+AX249</f>
        <v>0</v>
      </c>
      <c r="BD249" s="50">
        <f>G249/(100-BE249)*100</f>
        <v>0</v>
      </c>
      <c r="BE249" s="50">
        <v>0</v>
      </c>
      <c r="BF249" s="50">
        <f>249</f>
        <v>249</v>
      </c>
      <c r="BH249" s="50">
        <f>F249*AO249</f>
        <v>0</v>
      </c>
      <c r="BI249" s="50">
        <f>F249*AP249</f>
        <v>0</v>
      </c>
      <c r="BJ249" s="50">
        <f>F249*G249</f>
        <v>0</v>
      </c>
      <c r="BK249" s="52" t="s">
        <v>183</v>
      </c>
      <c r="BL249" s="50">
        <v>766</v>
      </c>
      <c r="BW249" s="50">
        <v>21</v>
      </c>
      <c r="BX249" s="3" t="s">
        <v>527</v>
      </c>
    </row>
    <row r="250" spans="1:76" ht="14.4" x14ac:dyDescent="0.3">
      <c r="A250" s="53"/>
      <c r="C250" s="54" t="s">
        <v>528</v>
      </c>
      <c r="D250" s="54" t="s">
        <v>4</v>
      </c>
      <c r="F250" s="55">
        <v>11.2</v>
      </c>
      <c r="K250" s="56"/>
    </row>
    <row r="251" spans="1:76" ht="14.4" x14ac:dyDescent="0.3">
      <c r="A251" s="53"/>
      <c r="C251" s="54" t="s">
        <v>529</v>
      </c>
      <c r="D251" s="54" t="s">
        <v>4</v>
      </c>
      <c r="F251" s="55">
        <v>0.56000000000000005</v>
      </c>
      <c r="K251" s="56"/>
    </row>
    <row r="252" spans="1:76" ht="14.4" x14ac:dyDescent="0.3">
      <c r="A252" s="1" t="s">
        <v>530</v>
      </c>
      <c r="B252" s="2" t="s">
        <v>531</v>
      </c>
      <c r="C252" s="75" t="s">
        <v>532</v>
      </c>
      <c r="D252" s="70"/>
      <c r="E252" s="2" t="s">
        <v>177</v>
      </c>
      <c r="F252" s="50">
        <v>5.68</v>
      </c>
      <c r="G252" s="50">
        <v>0</v>
      </c>
      <c r="H252" s="50">
        <f>ROUND(F252*AO252,2)</f>
        <v>0</v>
      </c>
      <c r="I252" s="50">
        <f>ROUND(F252*AP252,2)</f>
        <v>0</v>
      </c>
      <c r="J252" s="50">
        <f>ROUND(F252*G252,2)</f>
        <v>0</v>
      </c>
      <c r="K252" s="51" t="s">
        <v>118</v>
      </c>
      <c r="Z252" s="50">
        <f>ROUND(IF(AQ252="5",BJ252,0),2)</f>
        <v>0</v>
      </c>
      <c r="AB252" s="50">
        <f>ROUND(IF(AQ252="1",BH252,0),2)</f>
        <v>0</v>
      </c>
      <c r="AC252" s="50">
        <f>ROUND(IF(AQ252="1",BI252,0),2)</f>
        <v>0</v>
      </c>
      <c r="AD252" s="50">
        <f>ROUND(IF(AQ252="7",BH252,0),2)</f>
        <v>0</v>
      </c>
      <c r="AE252" s="50">
        <f>ROUND(IF(AQ252="7",BI252,0),2)</f>
        <v>0</v>
      </c>
      <c r="AF252" s="50">
        <f>ROUND(IF(AQ252="2",BH252,0),2)</f>
        <v>0</v>
      </c>
      <c r="AG252" s="50">
        <f>ROUND(IF(AQ252="2",BI252,0),2)</f>
        <v>0</v>
      </c>
      <c r="AH252" s="50">
        <f>ROUND(IF(AQ252="0",BJ252,0),2)</f>
        <v>0</v>
      </c>
      <c r="AI252" s="32" t="s">
        <v>4</v>
      </c>
      <c r="AJ252" s="50">
        <f>IF(AN252=0,J252,0)</f>
        <v>0</v>
      </c>
      <c r="AK252" s="50">
        <f>IF(AN252=12,J252,0)</f>
        <v>0</v>
      </c>
      <c r="AL252" s="50">
        <f>IF(AN252=21,J252,0)</f>
        <v>0</v>
      </c>
      <c r="AN252" s="50">
        <v>21</v>
      </c>
      <c r="AO252" s="50">
        <f>G252*0.032443523</f>
        <v>0</v>
      </c>
      <c r="AP252" s="50">
        <f>G252*(1-0.032443523)</f>
        <v>0</v>
      </c>
      <c r="AQ252" s="52" t="s">
        <v>153</v>
      </c>
      <c r="AV252" s="50">
        <f>ROUND(AW252+AX252,2)</f>
        <v>0</v>
      </c>
      <c r="AW252" s="50">
        <f>ROUND(F252*AO252,2)</f>
        <v>0</v>
      </c>
      <c r="AX252" s="50">
        <f>ROUND(F252*AP252,2)</f>
        <v>0</v>
      </c>
      <c r="AY252" s="52" t="s">
        <v>523</v>
      </c>
      <c r="AZ252" s="52" t="s">
        <v>426</v>
      </c>
      <c r="BA252" s="32" t="s">
        <v>121</v>
      </c>
      <c r="BC252" s="50">
        <f>AW252+AX252</f>
        <v>0</v>
      </c>
      <c r="BD252" s="50">
        <f>G252/(100-BE252)*100</f>
        <v>0</v>
      </c>
      <c r="BE252" s="50">
        <v>0</v>
      </c>
      <c r="BF252" s="50">
        <f>252</f>
        <v>252</v>
      </c>
      <c r="BH252" s="50">
        <f>F252*AO252</f>
        <v>0</v>
      </c>
      <c r="BI252" s="50">
        <f>F252*AP252</f>
        <v>0</v>
      </c>
      <c r="BJ252" s="50">
        <f>F252*G252</f>
        <v>0</v>
      </c>
      <c r="BK252" s="52" t="s">
        <v>122</v>
      </c>
      <c r="BL252" s="50">
        <v>766</v>
      </c>
      <c r="BW252" s="50">
        <v>21</v>
      </c>
      <c r="BX252" s="3" t="s">
        <v>532</v>
      </c>
    </row>
    <row r="253" spans="1:76" ht="14.4" x14ac:dyDescent="0.3">
      <c r="A253" s="53"/>
      <c r="C253" s="54" t="s">
        <v>533</v>
      </c>
      <c r="D253" s="54" t="s">
        <v>4</v>
      </c>
      <c r="F253" s="55">
        <v>5.68</v>
      </c>
      <c r="K253" s="56"/>
    </row>
    <row r="254" spans="1:76" ht="14.4" x14ac:dyDescent="0.3">
      <c r="A254" s="1" t="s">
        <v>534</v>
      </c>
      <c r="B254" s="2" t="s">
        <v>535</v>
      </c>
      <c r="C254" s="75" t="s">
        <v>536</v>
      </c>
      <c r="D254" s="70"/>
      <c r="E254" s="2" t="s">
        <v>177</v>
      </c>
      <c r="F254" s="50">
        <v>5.9640000000000004</v>
      </c>
      <c r="G254" s="50">
        <v>0</v>
      </c>
      <c r="H254" s="50">
        <f>ROUND(F254*AO254,2)</f>
        <v>0</v>
      </c>
      <c r="I254" s="50">
        <f>ROUND(F254*AP254,2)</f>
        <v>0</v>
      </c>
      <c r="J254" s="50">
        <f>ROUND(F254*G254,2)</f>
        <v>0</v>
      </c>
      <c r="K254" s="51" t="s">
        <v>118</v>
      </c>
      <c r="Z254" s="50">
        <f>ROUND(IF(AQ254="5",BJ254,0),2)</f>
        <v>0</v>
      </c>
      <c r="AB254" s="50">
        <f>ROUND(IF(AQ254="1",BH254,0),2)</f>
        <v>0</v>
      </c>
      <c r="AC254" s="50">
        <f>ROUND(IF(AQ254="1",BI254,0),2)</f>
        <v>0</v>
      </c>
      <c r="AD254" s="50">
        <f>ROUND(IF(AQ254="7",BH254,0),2)</f>
        <v>0</v>
      </c>
      <c r="AE254" s="50">
        <f>ROUND(IF(AQ254="7",BI254,0),2)</f>
        <v>0</v>
      </c>
      <c r="AF254" s="50">
        <f>ROUND(IF(AQ254="2",BH254,0),2)</f>
        <v>0</v>
      </c>
      <c r="AG254" s="50">
        <f>ROUND(IF(AQ254="2",BI254,0),2)</f>
        <v>0</v>
      </c>
      <c r="AH254" s="50">
        <f>ROUND(IF(AQ254="0",BJ254,0),2)</f>
        <v>0</v>
      </c>
      <c r="AI254" s="32" t="s">
        <v>4</v>
      </c>
      <c r="AJ254" s="50">
        <f>IF(AN254=0,J254,0)</f>
        <v>0</v>
      </c>
      <c r="AK254" s="50">
        <f>IF(AN254=12,J254,0)</f>
        <v>0</v>
      </c>
      <c r="AL254" s="50">
        <f>IF(AN254=21,J254,0)</f>
        <v>0</v>
      </c>
      <c r="AN254" s="50">
        <v>21</v>
      </c>
      <c r="AO254" s="50">
        <f>G254*1</f>
        <v>0</v>
      </c>
      <c r="AP254" s="50">
        <f>G254*(1-1)</f>
        <v>0</v>
      </c>
      <c r="AQ254" s="52" t="s">
        <v>153</v>
      </c>
      <c r="AV254" s="50">
        <f>ROUND(AW254+AX254,2)</f>
        <v>0</v>
      </c>
      <c r="AW254" s="50">
        <f>ROUND(F254*AO254,2)</f>
        <v>0</v>
      </c>
      <c r="AX254" s="50">
        <f>ROUND(F254*AP254,2)</f>
        <v>0</v>
      </c>
      <c r="AY254" s="52" t="s">
        <v>523</v>
      </c>
      <c r="AZ254" s="52" t="s">
        <v>426</v>
      </c>
      <c r="BA254" s="32" t="s">
        <v>121</v>
      </c>
      <c r="BC254" s="50">
        <f>AW254+AX254</f>
        <v>0</v>
      </c>
      <c r="BD254" s="50">
        <f>G254/(100-BE254)*100</f>
        <v>0</v>
      </c>
      <c r="BE254" s="50">
        <v>0</v>
      </c>
      <c r="BF254" s="50">
        <f>254</f>
        <v>254</v>
      </c>
      <c r="BH254" s="50">
        <f>F254*AO254</f>
        <v>0</v>
      </c>
      <c r="BI254" s="50">
        <f>F254*AP254</f>
        <v>0</v>
      </c>
      <c r="BJ254" s="50">
        <f>F254*G254</f>
        <v>0</v>
      </c>
      <c r="BK254" s="52" t="s">
        <v>183</v>
      </c>
      <c r="BL254" s="50">
        <v>766</v>
      </c>
      <c r="BW254" s="50">
        <v>21</v>
      </c>
      <c r="BX254" s="3" t="s">
        <v>536</v>
      </c>
    </row>
    <row r="255" spans="1:76" ht="14.4" x14ac:dyDescent="0.3">
      <c r="A255" s="53"/>
      <c r="C255" s="54" t="s">
        <v>533</v>
      </c>
      <c r="D255" s="54" t="s">
        <v>4</v>
      </c>
      <c r="F255" s="55">
        <v>5.68</v>
      </c>
      <c r="K255" s="56"/>
    </row>
    <row r="256" spans="1:76" ht="14.4" x14ac:dyDescent="0.3">
      <c r="A256" s="53"/>
      <c r="C256" s="54" t="s">
        <v>537</v>
      </c>
      <c r="D256" s="54" t="s">
        <v>4</v>
      </c>
      <c r="F256" s="55">
        <v>0.28399999999999997</v>
      </c>
      <c r="K256" s="56"/>
    </row>
    <row r="257" spans="1:76" ht="14.4" x14ac:dyDescent="0.3">
      <c r="A257" s="1" t="s">
        <v>538</v>
      </c>
      <c r="B257" s="2" t="s">
        <v>539</v>
      </c>
      <c r="C257" s="75" t="s">
        <v>540</v>
      </c>
      <c r="D257" s="70"/>
      <c r="E257" s="2" t="s">
        <v>257</v>
      </c>
      <c r="F257" s="50">
        <v>6</v>
      </c>
      <c r="G257" s="50">
        <v>0</v>
      </c>
      <c r="H257" s="50">
        <f>ROUND(F257*AO257,2)</f>
        <v>0</v>
      </c>
      <c r="I257" s="50">
        <f>ROUND(F257*AP257,2)</f>
        <v>0</v>
      </c>
      <c r="J257" s="50">
        <f>ROUND(F257*G257,2)</f>
        <v>0</v>
      </c>
      <c r="K257" s="51" t="s">
        <v>118</v>
      </c>
      <c r="Z257" s="50">
        <f>ROUND(IF(AQ257="5",BJ257,0),2)</f>
        <v>0</v>
      </c>
      <c r="AB257" s="50">
        <f>ROUND(IF(AQ257="1",BH257,0),2)</f>
        <v>0</v>
      </c>
      <c r="AC257" s="50">
        <f>ROUND(IF(AQ257="1",BI257,0),2)</f>
        <v>0</v>
      </c>
      <c r="AD257" s="50">
        <f>ROUND(IF(AQ257="7",BH257,0),2)</f>
        <v>0</v>
      </c>
      <c r="AE257" s="50">
        <f>ROUND(IF(AQ257="7",BI257,0),2)</f>
        <v>0</v>
      </c>
      <c r="AF257" s="50">
        <f>ROUND(IF(AQ257="2",BH257,0),2)</f>
        <v>0</v>
      </c>
      <c r="AG257" s="50">
        <f>ROUND(IF(AQ257="2",BI257,0),2)</f>
        <v>0</v>
      </c>
      <c r="AH257" s="50">
        <f>ROUND(IF(AQ257="0",BJ257,0),2)</f>
        <v>0</v>
      </c>
      <c r="AI257" s="32" t="s">
        <v>4</v>
      </c>
      <c r="AJ257" s="50">
        <f>IF(AN257=0,J257,0)</f>
        <v>0</v>
      </c>
      <c r="AK257" s="50">
        <f>IF(AN257=12,J257,0)</f>
        <v>0</v>
      </c>
      <c r="AL257" s="50">
        <f>IF(AN257=21,J257,0)</f>
        <v>0</v>
      </c>
      <c r="AN257" s="50">
        <v>21</v>
      </c>
      <c r="AO257" s="50">
        <f>G257*0.082380952</f>
        <v>0</v>
      </c>
      <c r="AP257" s="50">
        <f>G257*(1-0.082380952)</f>
        <v>0</v>
      </c>
      <c r="AQ257" s="52" t="s">
        <v>153</v>
      </c>
      <c r="AV257" s="50">
        <f>ROUND(AW257+AX257,2)</f>
        <v>0</v>
      </c>
      <c r="AW257" s="50">
        <f>ROUND(F257*AO257,2)</f>
        <v>0</v>
      </c>
      <c r="AX257" s="50">
        <f>ROUND(F257*AP257,2)</f>
        <v>0</v>
      </c>
      <c r="AY257" s="52" t="s">
        <v>523</v>
      </c>
      <c r="AZ257" s="52" t="s">
        <v>426</v>
      </c>
      <c r="BA257" s="32" t="s">
        <v>121</v>
      </c>
      <c r="BC257" s="50">
        <f>AW257+AX257</f>
        <v>0</v>
      </c>
      <c r="BD257" s="50">
        <f>G257/(100-BE257)*100</f>
        <v>0</v>
      </c>
      <c r="BE257" s="50">
        <v>0</v>
      </c>
      <c r="BF257" s="50">
        <f>257</f>
        <v>257</v>
      </c>
      <c r="BH257" s="50">
        <f>F257*AO257</f>
        <v>0</v>
      </c>
      <c r="BI257" s="50">
        <f>F257*AP257</f>
        <v>0</v>
      </c>
      <c r="BJ257" s="50">
        <f>F257*G257</f>
        <v>0</v>
      </c>
      <c r="BK257" s="52" t="s">
        <v>122</v>
      </c>
      <c r="BL257" s="50">
        <v>766</v>
      </c>
      <c r="BW257" s="50">
        <v>21</v>
      </c>
      <c r="BX257" s="3" t="s">
        <v>540</v>
      </c>
    </row>
    <row r="258" spans="1:76" ht="13.5" customHeight="1" x14ac:dyDescent="0.3">
      <c r="A258" s="53"/>
      <c r="B258" s="57" t="s">
        <v>157</v>
      </c>
      <c r="C258" s="150" t="s">
        <v>541</v>
      </c>
      <c r="D258" s="151"/>
      <c r="E258" s="151"/>
      <c r="F258" s="151"/>
      <c r="G258" s="151"/>
      <c r="H258" s="151"/>
      <c r="I258" s="151"/>
      <c r="J258" s="151"/>
      <c r="K258" s="152"/>
    </row>
    <row r="259" spans="1:76" ht="14.4" x14ac:dyDescent="0.3">
      <c r="A259" s="53"/>
      <c r="C259" s="54" t="s">
        <v>542</v>
      </c>
      <c r="D259" s="54" t="s">
        <v>4</v>
      </c>
      <c r="F259" s="55">
        <v>6</v>
      </c>
      <c r="K259" s="56"/>
    </row>
    <row r="260" spans="1:76" ht="14.4" x14ac:dyDescent="0.3">
      <c r="A260" s="1" t="s">
        <v>543</v>
      </c>
      <c r="B260" s="2" t="s">
        <v>544</v>
      </c>
      <c r="C260" s="75" t="s">
        <v>545</v>
      </c>
      <c r="D260" s="70"/>
      <c r="E260" s="2" t="s">
        <v>242</v>
      </c>
      <c r="F260" s="50">
        <v>1</v>
      </c>
      <c r="G260" s="50">
        <v>0</v>
      </c>
      <c r="H260" s="50">
        <f>ROUND(F260*AO260,2)</f>
        <v>0</v>
      </c>
      <c r="I260" s="50">
        <f>ROUND(F260*AP260,2)</f>
        <v>0</v>
      </c>
      <c r="J260" s="50">
        <f>ROUND(F260*G260,2)</f>
        <v>0</v>
      </c>
      <c r="K260" s="51" t="s">
        <v>118</v>
      </c>
      <c r="Z260" s="50">
        <f>ROUND(IF(AQ260="5",BJ260,0),2)</f>
        <v>0</v>
      </c>
      <c r="AB260" s="50">
        <f>ROUND(IF(AQ260="1",BH260,0),2)</f>
        <v>0</v>
      </c>
      <c r="AC260" s="50">
        <f>ROUND(IF(AQ260="1",BI260,0),2)</f>
        <v>0</v>
      </c>
      <c r="AD260" s="50">
        <f>ROUND(IF(AQ260="7",BH260,0),2)</f>
        <v>0</v>
      </c>
      <c r="AE260" s="50">
        <f>ROUND(IF(AQ260="7",BI260,0),2)</f>
        <v>0</v>
      </c>
      <c r="AF260" s="50">
        <f>ROUND(IF(AQ260="2",BH260,0),2)</f>
        <v>0</v>
      </c>
      <c r="AG260" s="50">
        <f>ROUND(IF(AQ260="2",BI260,0),2)</f>
        <v>0</v>
      </c>
      <c r="AH260" s="50">
        <f>ROUND(IF(AQ260="0",BJ260,0),2)</f>
        <v>0</v>
      </c>
      <c r="AI260" s="32" t="s">
        <v>4</v>
      </c>
      <c r="AJ260" s="50">
        <f>IF(AN260=0,J260,0)</f>
        <v>0</v>
      </c>
      <c r="AK260" s="50">
        <f>IF(AN260=12,J260,0)</f>
        <v>0</v>
      </c>
      <c r="AL260" s="50">
        <f>IF(AN260=21,J260,0)</f>
        <v>0</v>
      </c>
      <c r="AN260" s="50">
        <v>21</v>
      </c>
      <c r="AO260" s="50">
        <f>G260*1</f>
        <v>0</v>
      </c>
      <c r="AP260" s="50">
        <f>G260*(1-1)</f>
        <v>0</v>
      </c>
      <c r="AQ260" s="52" t="s">
        <v>153</v>
      </c>
      <c r="AV260" s="50">
        <f>ROUND(AW260+AX260,2)</f>
        <v>0</v>
      </c>
      <c r="AW260" s="50">
        <f>ROUND(F260*AO260,2)</f>
        <v>0</v>
      </c>
      <c r="AX260" s="50">
        <f>ROUND(F260*AP260,2)</f>
        <v>0</v>
      </c>
      <c r="AY260" s="52" t="s">
        <v>523</v>
      </c>
      <c r="AZ260" s="52" t="s">
        <v>426</v>
      </c>
      <c r="BA260" s="32" t="s">
        <v>121</v>
      </c>
      <c r="BC260" s="50">
        <f>AW260+AX260</f>
        <v>0</v>
      </c>
      <c r="BD260" s="50">
        <f>G260/(100-BE260)*100</f>
        <v>0</v>
      </c>
      <c r="BE260" s="50">
        <v>0</v>
      </c>
      <c r="BF260" s="50">
        <f>260</f>
        <v>260</v>
      </c>
      <c r="BH260" s="50">
        <f>F260*AO260</f>
        <v>0</v>
      </c>
      <c r="BI260" s="50">
        <f>F260*AP260</f>
        <v>0</v>
      </c>
      <c r="BJ260" s="50">
        <f>F260*G260</f>
        <v>0</v>
      </c>
      <c r="BK260" s="52" t="s">
        <v>183</v>
      </c>
      <c r="BL260" s="50">
        <v>766</v>
      </c>
      <c r="BW260" s="50">
        <v>21</v>
      </c>
      <c r="BX260" s="3" t="s">
        <v>545</v>
      </c>
    </row>
    <row r="261" spans="1:76" ht="14.4" x14ac:dyDescent="0.3">
      <c r="A261" s="53"/>
      <c r="C261" s="54" t="s">
        <v>114</v>
      </c>
      <c r="D261" s="54" t="s">
        <v>4</v>
      </c>
      <c r="F261" s="55">
        <v>1</v>
      </c>
      <c r="K261" s="56"/>
    </row>
    <row r="262" spans="1:76" ht="14.4" x14ac:dyDescent="0.3">
      <c r="A262" s="1" t="s">
        <v>546</v>
      </c>
      <c r="B262" s="2" t="s">
        <v>547</v>
      </c>
      <c r="C262" s="75" t="s">
        <v>548</v>
      </c>
      <c r="D262" s="70"/>
      <c r="E262" s="2" t="s">
        <v>257</v>
      </c>
      <c r="F262" s="50">
        <v>4</v>
      </c>
      <c r="G262" s="50">
        <v>0</v>
      </c>
      <c r="H262" s="50">
        <f>ROUND(F262*AO262,2)</f>
        <v>0</v>
      </c>
      <c r="I262" s="50">
        <f>ROUND(F262*AP262,2)</f>
        <v>0</v>
      </c>
      <c r="J262" s="50">
        <f>ROUND(F262*G262,2)</f>
        <v>0</v>
      </c>
      <c r="K262" s="51" t="s">
        <v>118</v>
      </c>
      <c r="Z262" s="50">
        <f>ROUND(IF(AQ262="5",BJ262,0),2)</f>
        <v>0</v>
      </c>
      <c r="AB262" s="50">
        <f>ROUND(IF(AQ262="1",BH262,0),2)</f>
        <v>0</v>
      </c>
      <c r="AC262" s="50">
        <f>ROUND(IF(AQ262="1",BI262,0),2)</f>
        <v>0</v>
      </c>
      <c r="AD262" s="50">
        <f>ROUND(IF(AQ262="7",BH262,0),2)</f>
        <v>0</v>
      </c>
      <c r="AE262" s="50">
        <f>ROUND(IF(AQ262="7",BI262,0),2)</f>
        <v>0</v>
      </c>
      <c r="AF262" s="50">
        <f>ROUND(IF(AQ262="2",BH262,0),2)</f>
        <v>0</v>
      </c>
      <c r="AG262" s="50">
        <f>ROUND(IF(AQ262="2",BI262,0),2)</f>
        <v>0</v>
      </c>
      <c r="AH262" s="50">
        <f>ROUND(IF(AQ262="0",BJ262,0),2)</f>
        <v>0</v>
      </c>
      <c r="AI262" s="32" t="s">
        <v>4</v>
      </c>
      <c r="AJ262" s="50">
        <f>IF(AN262=0,J262,0)</f>
        <v>0</v>
      </c>
      <c r="AK262" s="50">
        <f>IF(AN262=12,J262,0)</f>
        <v>0</v>
      </c>
      <c r="AL262" s="50">
        <f>IF(AN262=21,J262,0)</f>
        <v>0</v>
      </c>
      <c r="AN262" s="50">
        <v>21</v>
      </c>
      <c r="AO262" s="50">
        <f>G262*0.059879154</f>
        <v>0</v>
      </c>
      <c r="AP262" s="50">
        <f>G262*(1-0.059879154)</f>
        <v>0</v>
      </c>
      <c r="AQ262" s="52" t="s">
        <v>153</v>
      </c>
      <c r="AV262" s="50">
        <f>ROUND(AW262+AX262,2)</f>
        <v>0</v>
      </c>
      <c r="AW262" s="50">
        <f>ROUND(F262*AO262,2)</f>
        <v>0</v>
      </c>
      <c r="AX262" s="50">
        <f>ROUND(F262*AP262,2)</f>
        <v>0</v>
      </c>
      <c r="AY262" s="52" t="s">
        <v>523</v>
      </c>
      <c r="AZ262" s="52" t="s">
        <v>426</v>
      </c>
      <c r="BA262" s="32" t="s">
        <v>121</v>
      </c>
      <c r="BC262" s="50">
        <f>AW262+AX262</f>
        <v>0</v>
      </c>
      <c r="BD262" s="50">
        <f>G262/(100-BE262)*100</f>
        <v>0</v>
      </c>
      <c r="BE262" s="50">
        <v>0</v>
      </c>
      <c r="BF262" s="50">
        <f>262</f>
        <v>262</v>
      </c>
      <c r="BH262" s="50">
        <f>F262*AO262</f>
        <v>0</v>
      </c>
      <c r="BI262" s="50">
        <f>F262*AP262</f>
        <v>0</v>
      </c>
      <c r="BJ262" s="50">
        <f>F262*G262</f>
        <v>0</v>
      </c>
      <c r="BK262" s="52" t="s">
        <v>122</v>
      </c>
      <c r="BL262" s="50">
        <v>766</v>
      </c>
      <c r="BW262" s="50">
        <v>21</v>
      </c>
      <c r="BX262" s="3" t="s">
        <v>548</v>
      </c>
    </row>
    <row r="263" spans="1:76" ht="14.4" x14ac:dyDescent="0.3">
      <c r="A263" s="53"/>
      <c r="C263" s="54" t="s">
        <v>549</v>
      </c>
      <c r="D263" s="54" t="s">
        <v>4</v>
      </c>
      <c r="F263" s="55">
        <v>4</v>
      </c>
      <c r="K263" s="56"/>
    </row>
    <row r="264" spans="1:76" ht="14.4" x14ac:dyDescent="0.3">
      <c r="A264" s="1" t="s">
        <v>550</v>
      </c>
      <c r="B264" s="2" t="s">
        <v>551</v>
      </c>
      <c r="C264" s="75" t="s">
        <v>552</v>
      </c>
      <c r="D264" s="70"/>
      <c r="E264" s="2" t="s">
        <v>177</v>
      </c>
      <c r="F264" s="50">
        <v>0.9375</v>
      </c>
      <c r="G264" s="50">
        <v>0</v>
      </c>
      <c r="H264" s="50">
        <f>ROUND(F264*AO264,2)</f>
        <v>0</v>
      </c>
      <c r="I264" s="50">
        <f>ROUND(F264*AP264,2)</f>
        <v>0</v>
      </c>
      <c r="J264" s="50">
        <f>ROUND(F264*G264,2)</f>
        <v>0</v>
      </c>
      <c r="K264" s="51" t="s">
        <v>118</v>
      </c>
      <c r="Z264" s="50">
        <f>ROUND(IF(AQ264="5",BJ264,0),2)</f>
        <v>0</v>
      </c>
      <c r="AB264" s="50">
        <f>ROUND(IF(AQ264="1",BH264,0),2)</f>
        <v>0</v>
      </c>
      <c r="AC264" s="50">
        <f>ROUND(IF(AQ264="1",BI264,0),2)</f>
        <v>0</v>
      </c>
      <c r="AD264" s="50">
        <f>ROUND(IF(AQ264="7",BH264,0),2)</f>
        <v>0</v>
      </c>
      <c r="AE264" s="50">
        <f>ROUND(IF(AQ264="7",BI264,0),2)</f>
        <v>0</v>
      </c>
      <c r="AF264" s="50">
        <f>ROUND(IF(AQ264="2",BH264,0),2)</f>
        <v>0</v>
      </c>
      <c r="AG264" s="50">
        <f>ROUND(IF(AQ264="2",BI264,0),2)</f>
        <v>0</v>
      </c>
      <c r="AH264" s="50">
        <f>ROUND(IF(AQ264="0",BJ264,0),2)</f>
        <v>0</v>
      </c>
      <c r="AI264" s="32" t="s">
        <v>4</v>
      </c>
      <c r="AJ264" s="50">
        <f>IF(AN264=0,J264,0)</f>
        <v>0</v>
      </c>
      <c r="AK264" s="50">
        <f>IF(AN264=12,J264,0)</f>
        <v>0</v>
      </c>
      <c r="AL264" s="50">
        <f>IF(AN264=21,J264,0)</f>
        <v>0</v>
      </c>
      <c r="AN264" s="50">
        <v>21</v>
      </c>
      <c r="AO264" s="50">
        <f>G264*1</f>
        <v>0</v>
      </c>
      <c r="AP264" s="50">
        <f>G264*(1-1)</f>
        <v>0</v>
      </c>
      <c r="AQ264" s="52" t="s">
        <v>153</v>
      </c>
      <c r="AV264" s="50">
        <f>ROUND(AW264+AX264,2)</f>
        <v>0</v>
      </c>
      <c r="AW264" s="50">
        <f>ROUND(F264*AO264,2)</f>
        <v>0</v>
      </c>
      <c r="AX264" s="50">
        <f>ROUND(F264*AP264,2)</f>
        <v>0</v>
      </c>
      <c r="AY264" s="52" t="s">
        <v>523</v>
      </c>
      <c r="AZ264" s="52" t="s">
        <v>426</v>
      </c>
      <c r="BA264" s="32" t="s">
        <v>121</v>
      </c>
      <c r="BC264" s="50">
        <f>AW264+AX264</f>
        <v>0</v>
      </c>
      <c r="BD264" s="50">
        <f>G264/(100-BE264)*100</f>
        <v>0</v>
      </c>
      <c r="BE264" s="50">
        <v>0</v>
      </c>
      <c r="BF264" s="50">
        <f>264</f>
        <v>264</v>
      </c>
      <c r="BH264" s="50">
        <f>F264*AO264</f>
        <v>0</v>
      </c>
      <c r="BI264" s="50">
        <f>F264*AP264</f>
        <v>0</v>
      </c>
      <c r="BJ264" s="50">
        <f>F264*G264</f>
        <v>0</v>
      </c>
      <c r="BK264" s="52" t="s">
        <v>183</v>
      </c>
      <c r="BL264" s="50">
        <v>766</v>
      </c>
      <c r="BW264" s="50">
        <v>21</v>
      </c>
      <c r="BX264" s="3" t="s">
        <v>552</v>
      </c>
    </row>
    <row r="265" spans="1:76" ht="14.4" x14ac:dyDescent="0.3">
      <c r="A265" s="53"/>
      <c r="C265" s="54" t="s">
        <v>553</v>
      </c>
      <c r="D265" s="54" t="s">
        <v>4</v>
      </c>
      <c r="F265" s="55">
        <v>0.9375</v>
      </c>
      <c r="K265" s="56"/>
    </row>
    <row r="266" spans="1:76" ht="14.4" x14ac:dyDescent="0.3">
      <c r="A266" s="1" t="s">
        <v>554</v>
      </c>
      <c r="B266" s="2" t="s">
        <v>555</v>
      </c>
      <c r="C266" s="75" t="s">
        <v>556</v>
      </c>
      <c r="D266" s="70"/>
      <c r="E266" s="2" t="s">
        <v>219</v>
      </c>
      <c r="F266" s="50">
        <v>0.12748999999999999</v>
      </c>
      <c r="G266" s="50">
        <v>0</v>
      </c>
      <c r="H266" s="50">
        <f>ROUND(F266*AO266,2)</f>
        <v>0</v>
      </c>
      <c r="I266" s="50">
        <f>ROUND(F266*AP266,2)</f>
        <v>0</v>
      </c>
      <c r="J266" s="50">
        <f>ROUND(F266*G266,2)</f>
        <v>0</v>
      </c>
      <c r="K266" s="51" t="s">
        <v>118</v>
      </c>
      <c r="Z266" s="50">
        <f>ROUND(IF(AQ266="5",BJ266,0),2)</f>
        <v>0</v>
      </c>
      <c r="AB266" s="50">
        <f>ROUND(IF(AQ266="1",BH266,0),2)</f>
        <v>0</v>
      </c>
      <c r="AC266" s="50">
        <f>ROUND(IF(AQ266="1",BI266,0),2)</f>
        <v>0</v>
      </c>
      <c r="AD266" s="50">
        <f>ROUND(IF(AQ266="7",BH266,0),2)</f>
        <v>0</v>
      </c>
      <c r="AE266" s="50">
        <f>ROUND(IF(AQ266="7",BI266,0),2)</f>
        <v>0</v>
      </c>
      <c r="AF266" s="50">
        <f>ROUND(IF(AQ266="2",BH266,0),2)</f>
        <v>0</v>
      </c>
      <c r="AG266" s="50">
        <f>ROUND(IF(AQ266="2",BI266,0),2)</f>
        <v>0</v>
      </c>
      <c r="AH266" s="50">
        <f>ROUND(IF(AQ266="0",BJ266,0),2)</f>
        <v>0</v>
      </c>
      <c r="AI266" s="32" t="s">
        <v>4</v>
      </c>
      <c r="AJ266" s="50">
        <f>IF(AN266=0,J266,0)</f>
        <v>0</v>
      </c>
      <c r="AK266" s="50">
        <f>IF(AN266=12,J266,0)</f>
        <v>0</v>
      </c>
      <c r="AL266" s="50">
        <f>IF(AN266=21,J266,0)</f>
        <v>0</v>
      </c>
      <c r="AN266" s="50">
        <v>21</v>
      </c>
      <c r="AO266" s="50">
        <f>G266*0</f>
        <v>0</v>
      </c>
      <c r="AP266" s="50">
        <f>G266*(1-0)</f>
        <v>0</v>
      </c>
      <c r="AQ266" s="52" t="s">
        <v>139</v>
      </c>
      <c r="AV266" s="50">
        <f>ROUND(AW266+AX266,2)</f>
        <v>0</v>
      </c>
      <c r="AW266" s="50">
        <f>ROUND(F266*AO266,2)</f>
        <v>0</v>
      </c>
      <c r="AX266" s="50">
        <f>ROUND(F266*AP266,2)</f>
        <v>0</v>
      </c>
      <c r="AY266" s="52" t="s">
        <v>523</v>
      </c>
      <c r="AZ266" s="52" t="s">
        <v>426</v>
      </c>
      <c r="BA266" s="32" t="s">
        <v>121</v>
      </c>
      <c r="BC266" s="50">
        <f>AW266+AX266</f>
        <v>0</v>
      </c>
      <c r="BD266" s="50">
        <f>G266/(100-BE266)*100</f>
        <v>0</v>
      </c>
      <c r="BE266" s="50">
        <v>0</v>
      </c>
      <c r="BF266" s="50">
        <f>266</f>
        <v>266</v>
      </c>
      <c r="BH266" s="50">
        <f>F266*AO266</f>
        <v>0</v>
      </c>
      <c r="BI266" s="50">
        <f>F266*AP266</f>
        <v>0</v>
      </c>
      <c r="BJ266" s="50">
        <f>F266*G266</f>
        <v>0</v>
      </c>
      <c r="BK266" s="52" t="s">
        <v>122</v>
      </c>
      <c r="BL266" s="50">
        <v>766</v>
      </c>
      <c r="BW266" s="50">
        <v>21</v>
      </c>
      <c r="BX266" s="3" t="s">
        <v>556</v>
      </c>
    </row>
    <row r="267" spans="1:76" ht="14.4" x14ac:dyDescent="0.3">
      <c r="A267" s="46" t="s">
        <v>4</v>
      </c>
      <c r="B267" s="47" t="s">
        <v>557</v>
      </c>
      <c r="C267" s="148" t="s">
        <v>558</v>
      </c>
      <c r="D267" s="149"/>
      <c r="E267" s="48" t="s">
        <v>79</v>
      </c>
      <c r="F267" s="48" t="s">
        <v>79</v>
      </c>
      <c r="G267" s="48" t="s">
        <v>79</v>
      </c>
      <c r="H267" s="26">
        <f>ROUND(SUM(H268:H272),2)</f>
        <v>0</v>
      </c>
      <c r="I267" s="26">
        <f>ROUND(SUM(I268:I272),2)</f>
        <v>0</v>
      </c>
      <c r="J267" s="26">
        <f>ROUND(SUM(J268:J272),2)</f>
        <v>0</v>
      </c>
      <c r="K267" s="49" t="s">
        <v>4</v>
      </c>
      <c r="AI267" s="32" t="s">
        <v>4</v>
      </c>
      <c r="AS267" s="26">
        <f>SUM(AJ268:AJ272)</f>
        <v>0</v>
      </c>
      <c r="AT267" s="26">
        <f>SUM(AK268:AK272)</f>
        <v>0</v>
      </c>
      <c r="AU267" s="26">
        <f>SUM(AL268:AL272)</f>
        <v>0</v>
      </c>
    </row>
    <row r="268" spans="1:76" ht="14.4" x14ac:dyDescent="0.3">
      <c r="A268" s="1" t="s">
        <v>559</v>
      </c>
      <c r="B268" s="2" t="s">
        <v>560</v>
      </c>
      <c r="C268" s="75" t="s">
        <v>561</v>
      </c>
      <c r="D268" s="70"/>
      <c r="E268" s="2" t="s">
        <v>242</v>
      </c>
      <c r="F268" s="50">
        <v>1</v>
      </c>
      <c r="G268" s="50">
        <v>0</v>
      </c>
      <c r="H268" s="50">
        <f>ROUND(F268*AO268,2)</f>
        <v>0</v>
      </c>
      <c r="I268" s="50">
        <f>ROUND(F268*AP268,2)</f>
        <v>0</v>
      </c>
      <c r="J268" s="50">
        <f>ROUND(F268*G268,2)</f>
        <v>0</v>
      </c>
      <c r="K268" s="51" t="s">
        <v>118</v>
      </c>
      <c r="Z268" s="50">
        <f>ROUND(IF(AQ268="5",BJ268,0),2)</f>
        <v>0</v>
      </c>
      <c r="AB268" s="50">
        <f>ROUND(IF(AQ268="1",BH268,0),2)</f>
        <v>0</v>
      </c>
      <c r="AC268" s="50">
        <f>ROUND(IF(AQ268="1",BI268,0),2)</f>
        <v>0</v>
      </c>
      <c r="AD268" s="50">
        <f>ROUND(IF(AQ268="7",BH268,0),2)</f>
        <v>0</v>
      </c>
      <c r="AE268" s="50">
        <f>ROUND(IF(AQ268="7",BI268,0),2)</f>
        <v>0</v>
      </c>
      <c r="AF268" s="50">
        <f>ROUND(IF(AQ268="2",BH268,0),2)</f>
        <v>0</v>
      </c>
      <c r="AG268" s="50">
        <f>ROUND(IF(AQ268="2",BI268,0),2)</f>
        <v>0</v>
      </c>
      <c r="AH268" s="50">
        <f>ROUND(IF(AQ268="0",BJ268,0),2)</f>
        <v>0</v>
      </c>
      <c r="AI268" s="32" t="s">
        <v>4</v>
      </c>
      <c r="AJ268" s="50">
        <f>IF(AN268=0,J268,0)</f>
        <v>0</v>
      </c>
      <c r="AK268" s="50">
        <f>IF(AN268=12,J268,0)</f>
        <v>0</v>
      </c>
      <c r="AL268" s="50">
        <f>IF(AN268=21,J268,0)</f>
        <v>0</v>
      </c>
      <c r="AN268" s="50">
        <v>21</v>
      </c>
      <c r="AO268" s="50">
        <f>G268*0.08701594</f>
        <v>0</v>
      </c>
      <c r="AP268" s="50">
        <f>G268*(1-0.08701594)</f>
        <v>0</v>
      </c>
      <c r="AQ268" s="52" t="s">
        <v>153</v>
      </c>
      <c r="AV268" s="50">
        <f>ROUND(AW268+AX268,2)</f>
        <v>0</v>
      </c>
      <c r="AW268" s="50">
        <f>ROUND(F268*AO268,2)</f>
        <v>0</v>
      </c>
      <c r="AX268" s="50">
        <f>ROUND(F268*AP268,2)</f>
        <v>0</v>
      </c>
      <c r="AY268" s="52" t="s">
        <v>562</v>
      </c>
      <c r="AZ268" s="52" t="s">
        <v>426</v>
      </c>
      <c r="BA268" s="32" t="s">
        <v>121</v>
      </c>
      <c r="BC268" s="50">
        <f>AW268+AX268</f>
        <v>0</v>
      </c>
      <c r="BD268" s="50">
        <f>G268/(100-BE268)*100</f>
        <v>0</v>
      </c>
      <c r="BE268" s="50">
        <v>0</v>
      </c>
      <c r="BF268" s="50">
        <f>268</f>
        <v>268</v>
      </c>
      <c r="BH268" s="50">
        <f>F268*AO268</f>
        <v>0</v>
      </c>
      <c r="BI268" s="50">
        <f>F268*AP268</f>
        <v>0</v>
      </c>
      <c r="BJ268" s="50">
        <f>F268*G268</f>
        <v>0</v>
      </c>
      <c r="BK268" s="52" t="s">
        <v>122</v>
      </c>
      <c r="BL268" s="50">
        <v>767</v>
      </c>
      <c r="BW268" s="50">
        <v>21</v>
      </c>
      <c r="BX268" s="3" t="s">
        <v>561</v>
      </c>
    </row>
    <row r="269" spans="1:76" ht="14.4" x14ac:dyDescent="0.3">
      <c r="A269" s="53"/>
      <c r="C269" s="54" t="s">
        <v>114</v>
      </c>
      <c r="D269" s="54" t="s">
        <v>4</v>
      </c>
      <c r="F269" s="55">
        <v>1</v>
      </c>
      <c r="K269" s="56"/>
    </row>
    <row r="270" spans="1:76" ht="14.4" x14ac:dyDescent="0.3">
      <c r="A270" s="1" t="s">
        <v>563</v>
      </c>
      <c r="B270" s="2" t="s">
        <v>564</v>
      </c>
      <c r="C270" s="75" t="s">
        <v>565</v>
      </c>
      <c r="D270" s="70"/>
      <c r="E270" s="2" t="s">
        <v>242</v>
      </c>
      <c r="F270" s="50">
        <v>1</v>
      </c>
      <c r="G270" s="50">
        <v>0</v>
      </c>
      <c r="H270" s="50">
        <f>ROUND(F270*AO270,2)</f>
        <v>0</v>
      </c>
      <c r="I270" s="50">
        <f>ROUND(F270*AP270,2)</f>
        <v>0</v>
      </c>
      <c r="J270" s="50">
        <f>ROUND(F270*G270,2)</f>
        <v>0</v>
      </c>
      <c r="K270" s="51" t="s">
        <v>118</v>
      </c>
      <c r="Z270" s="50">
        <f>ROUND(IF(AQ270="5",BJ270,0),2)</f>
        <v>0</v>
      </c>
      <c r="AB270" s="50">
        <f>ROUND(IF(AQ270="1",BH270,0),2)</f>
        <v>0</v>
      </c>
      <c r="AC270" s="50">
        <f>ROUND(IF(AQ270="1",BI270,0),2)</f>
        <v>0</v>
      </c>
      <c r="AD270" s="50">
        <f>ROUND(IF(AQ270="7",BH270,0),2)</f>
        <v>0</v>
      </c>
      <c r="AE270" s="50">
        <f>ROUND(IF(AQ270="7",BI270,0),2)</f>
        <v>0</v>
      </c>
      <c r="AF270" s="50">
        <f>ROUND(IF(AQ270="2",BH270,0),2)</f>
        <v>0</v>
      </c>
      <c r="AG270" s="50">
        <f>ROUND(IF(AQ270="2",BI270,0),2)</f>
        <v>0</v>
      </c>
      <c r="AH270" s="50">
        <f>ROUND(IF(AQ270="0",BJ270,0),2)</f>
        <v>0</v>
      </c>
      <c r="AI270" s="32" t="s">
        <v>4</v>
      </c>
      <c r="AJ270" s="50">
        <f>IF(AN270=0,J270,0)</f>
        <v>0</v>
      </c>
      <c r="AK270" s="50">
        <f>IF(AN270=12,J270,0)</f>
        <v>0</v>
      </c>
      <c r="AL270" s="50">
        <f>IF(AN270=21,J270,0)</f>
        <v>0</v>
      </c>
      <c r="AN270" s="50">
        <v>21</v>
      </c>
      <c r="AO270" s="50">
        <f>G270*1</f>
        <v>0</v>
      </c>
      <c r="AP270" s="50">
        <f>G270*(1-1)</f>
        <v>0</v>
      </c>
      <c r="AQ270" s="52" t="s">
        <v>153</v>
      </c>
      <c r="AV270" s="50">
        <f>ROUND(AW270+AX270,2)</f>
        <v>0</v>
      </c>
      <c r="AW270" s="50">
        <f>ROUND(F270*AO270,2)</f>
        <v>0</v>
      </c>
      <c r="AX270" s="50">
        <f>ROUND(F270*AP270,2)</f>
        <v>0</v>
      </c>
      <c r="AY270" s="52" t="s">
        <v>562</v>
      </c>
      <c r="AZ270" s="52" t="s">
        <v>426</v>
      </c>
      <c r="BA270" s="32" t="s">
        <v>121</v>
      </c>
      <c r="BC270" s="50">
        <f>AW270+AX270</f>
        <v>0</v>
      </c>
      <c r="BD270" s="50">
        <f>G270/(100-BE270)*100</f>
        <v>0</v>
      </c>
      <c r="BE270" s="50">
        <v>0</v>
      </c>
      <c r="BF270" s="50">
        <f>270</f>
        <v>270</v>
      </c>
      <c r="BH270" s="50">
        <f>F270*AO270</f>
        <v>0</v>
      </c>
      <c r="BI270" s="50">
        <f>F270*AP270</f>
        <v>0</v>
      </c>
      <c r="BJ270" s="50">
        <f>F270*G270</f>
        <v>0</v>
      </c>
      <c r="BK270" s="52" t="s">
        <v>183</v>
      </c>
      <c r="BL270" s="50">
        <v>767</v>
      </c>
      <c r="BW270" s="50">
        <v>21</v>
      </c>
      <c r="BX270" s="3" t="s">
        <v>565</v>
      </c>
    </row>
    <row r="271" spans="1:76" ht="14.4" x14ac:dyDescent="0.3">
      <c r="A271" s="53"/>
      <c r="C271" s="54" t="s">
        <v>114</v>
      </c>
      <c r="D271" s="54" t="s">
        <v>4</v>
      </c>
      <c r="F271" s="55">
        <v>1</v>
      </c>
      <c r="K271" s="56"/>
    </row>
    <row r="272" spans="1:76" ht="14.4" x14ac:dyDescent="0.3">
      <c r="A272" s="1" t="s">
        <v>566</v>
      </c>
      <c r="B272" s="2" t="s">
        <v>567</v>
      </c>
      <c r="C272" s="75" t="s">
        <v>568</v>
      </c>
      <c r="D272" s="70"/>
      <c r="E272" s="2" t="s">
        <v>219</v>
      </c>
      <c r="F272" s="50">
        <v>9.5670000000000005E-2</v>
      </c>
      <c r="G272" s="50">
        <v>0</v>
      </c>
      <c r="H272" s="50">
        <f>ROUND(F272*AO272,2)</f>
        <v>0</v>
      </c>
      <c r="I272" s="50">
        <f>ROUND(F272*AP272,2)</f>
        <v>0</v>
      </c>
      <c r="J272" s="50">
        <f>ROUND(F272*G272,2)</f>
        <v>0</v>
      </c>
      <c r="K272" s="51" t="s">
        <v>118</v>
      </c>
      <c r="Z272" s="50">
        <f>ROUND(IF(AQ272="5",BJ272,0),2)</f>
        <v>0</v>
      </c>
      <c r="AB272" s="50">
        <f>ROUND(IF(AQ272="1",BH272,0),2)</f>
        <v>0</v>
      </c>
      <c r="AC272" s="50">
        <f>ROUND(IF(AQ272="1",BI272,0),2)</f>
        <v>0</v>
      </c>
      <c r="AD272" s="50">
        <f>ROUND(IF(AQ272="7",BH272,0),2)</f>
        <v>0</v>
      </c>
      <c r="AE272" s="50">
        <f>ROUND(IF(AQ272="7",BI272,0),2)</f>
        <v>0</v>
      </c>
      <c r="AF272" s="50">
        <f>ROUND(IF(AQ272="2",BH272,0),2)</f>
        <v>0</v>
      </c>
      <c r="AG272" s="50">
        <f>ROUND(IF(AQ272="2",BI272,0),2)</f>
        <v>0</v>
      </c>
      <c r="AH272" s="50">
        <f>ROUND(IF(AQ272="0",BJ272,0),2)</f>
        <v>0</v>
      </c>
      <c r="AI272" s="32" t="s">
        <v>4</v>
      </c>
      <c r="AJ272" s="50">
        <f>IF(AN272=0,J272,0)</f>
        <v>0</v>
      </c>
      <c r="AK272" s="50">
        <f>IF(AN272=12,J272,0)</f>
        <v>0</v>
      </c>
      <c r="AL272" s="50">
        <f>IF(AN272=21,J272,0)</f>
        <v>0</v>
      </c>
      <c r="AN272" s="50">
        <v>21</v>
      </c>
      <c r="AO272" s="50">
        <f>G272*0</f>
        <v>0</v>
      </c>
      <c r="AP272" s="50">
        <f>G272*(1-0)</f>
        <v>0</v>
      </c>
      <c r="AQ272" s="52" t="s">
        <v>139</v>
      </c>
      <c r="AV272" s="50">
        <f>ROUND(AW272+AX272,2)</f>
        <v>0</v>
      </c>
      <c r="AW272" s="50">
        <f>ROUND(F272*AO272,2)</f>
        <v>0</v>
      </c>
      <c r="AX272" s="50">
        <f>ROUND(F272*AP272,2)</f>
        <v>0</v>
      </c>
      <c r="AY272" s="52" t="s">
        <v>562</v>
      </c>
      <c r="AZ272" s="52" t="s">
        <v>426</v>
      </c>
      <c r="BA272" s="32" t="s">
        <v>121</v>
      </c>
      <c r="BC272" s="50">
        <f>AW272+AX272</f>
        <v>0</v>
      </c>
      <c r="BD272" s="50">
        <f>G272/(100-BE272)*100</f>
        <v>0</v>
      </c>
      <c r="BE272" s="50">
        <v>0</v>
      </c>
      <c r="BF272" s="50">
        <f>272</f>
        <v>272</v>
      </c>
      <c r="BH272" s="50">
        <f>F272*AO272</f>
        <v>0</v>
      </c>
      <c r="BI272" s="50">
        <f>F272*AP272</f>
        <v>0</v>
      </c>
      <c r="BJ272" s="50">
        <f>F272*G272</f>
        <v>0</v>
      </c>
      <c r="BK272" s="52" t="s">
        <v>122</v>
      </c>
      <c r="BL272" s="50">
        <v>767</v>
      </c>
      <c r="BW272" s="50">
        <v>21</v>
      </c>
      <c r="BX272" s="3" t="s">
        <v>568</v>
      </c>
    </row>
    <row r="273" spans="1:76" ht="14.4" x14ac:dyDescent="0.3">
      <c r="A273" s="46" t="s">
        <v>4</v>
      </c>
      <c r="B273" s="47" t="s">
        <v>569</v>
      </c>
      <c r="C273" s="148" t="s">
        <v>570</v>
      </c>
      <c r="D273" s="149"/>
      <c r="E273" s="48" t="s">
        <v>79</v>
      </c>
      <c r="F273" s="48" t="s">
        <v>79</v>
      </c>
      <c r="G273" s="48" t="s">
        <v>79</v>
      </c>
      <c r="H273" s="26">
        <f>ROUND(SUM(H274:H276),2)</f>
        <v>0</v>
      </c>
      <c r="I273" s="26">
        <f>ROUND(SUM(I274:I276),2)</f>
        <v>0</v>
      </c>
      <c r="J273" s="26">
        <f>ROUND(SUM(J274:J276),2)</f>
        <v>0</v>
      </c>
      <c r="K273" s="49" t="s">
        <v>4</v>
      </c>
      <c r="AI273" s="32" t="s">
        <v>4</v>
      </c>
      <c r="AS273" s="26">
        <f>SUM(AJ274:AJ276)</f>
        <v>0</v>
      </c>
      <c r="AT273" s="26">
        <f>SUM(AK274:AK276)</f>
        <v>0</v>
      </c>
      <c r="AU273" s="26">
        <f>SUM(AL274:AL276)</f>
        <v>0</v>
      </c>
    </row>
    <row r="274" spans="1:76" ht="14.4" x14ac:dyDescent="0.3">
      <c r="A274" s="1" t="s">
        <v>571</v>
      </c>
      <c r="B274" s="2" t="s">
        <v>572</v>
      </c>
      <c r="C274" s="75" t="s">
        <v>573</v>
      </c>
      <c r="D274" s="70"/>
      <c r="E274" s="2" t="s">
        <v>177</v>
      </c>
      <c r="F274" s="50">
        <v>8.1839999999999993</v>
      </c>
      <c r="G274" s="50">
        <v>0</v>
      </c>
      <c r="H274" s="50">
        <f>ROUND(F274*AO274,2)</f>
        <v>0</v>
      </c>
      <c r="I274" s="50">
        <f>ROUND(F274*AP274,2)</f>
        <v>0</v>
      </c>
      <c r="J274" s="50">
        <f>ROUND(F274*G274,2)</f>
        <v>0</v>
      </c>
      <c r="K274" s="51" t="s">
        <v>253</v>
      </c>
      <c r="Z274" s="50">
        <f>ROUND(IF(AQ274="5",BJ274,0),2)</f>
        <v>0</v>
      </c>
      <c r="AB274" s="50">
        <f>ROUND(IF(AQ274="1",BH274,0),2)</f>
        <v>0</v>
      </c>
      <c r="AC274" s="50">
        <f>ROUND(IF(AQ274="1",BI274,0),2)</f>
        <v>0</v>
      </c>
      <c r="AD274" s="50">
        <f>ROUND(IF(AQ274="7",BH274,0),2)</f>
        <v>0</v>
      </c>
      <c r="AE274" s="50">
        <f>ROUND(IF(AQ274="7",BI274,0),2)</f>
        <v>0</v>
      </c>
      <c r="AF274" s="50">
        <f>ROUND(IF(AQ274="2",BH274,0),2)</f>
        <v>0</v>
      </c>
      <c r="AG274" s="50">
        <f>ROUND(IF(AQ274="2",BI274,0),2)</f>
        <v>0</v>
      </c>
      <c r="AH274" s="50">
        <f>ROUND(IF(AQ274="0",BJ274,0),2)</f>
        <v>0</v>
      </c>
      <c r="AI274" s="32" t="s">
        <v>4</v>
      </c>
      <c r="AJ274" s="50">
        <f>IF(AN274=0,J274,0)</f>
        <v>0</v>
      </c>
      <c r="AK274" s="50">
        <f>IF(AN274=12,J274,0)</f>
        <v>0</v>
      </c>
      <c r="AL274" s="50">
        <f>IF(AN274=21,J274,0)</f>
        <v>0</v>
      </c>
      <c r="AN274" s="50">
        <v>21</v>
      </c>
      <c r="AO274" s="50">
        <f>G274*0.123266955</f>
        <v>0</v>
      </c>
      <c r="AP274" s="50">
        <f>G274*(1-0.123266955)</f>
        <v>0</v>
      </c>
      <c r="AQ274" s="52" t="s">
        <v>153</v>
      </c>
      <c r="AV274" s="50">
        <f>ROUND(AW274+AX274,2)</f>
        <v>0</v>
      </c>
      <c r="AW274" s="50">
        <f>ROUND(F274*AO274,2)</f>
        <v>0</v>
      </c>
      <c r="AX274" s="50">
        <f>ROUND(F274*AP274,2)</f>
        <v>0</v>
      </c>
      <c r="AY274" s="52" t="s">
        <v>574</v>
      </c>
      <c r="AZ274" s="52" t="s">
        <v>575</v>
      </c>
      <c r="BA274" s="32" t="s">
        <v>121</v>
      </c>
      <c r="BC274" s="50">
        <f>AW274+AX274</f>
        <v>0</v>
      </c>
      <c r="BD274" s="50">
        <f>G274/(100-BE274)*100</f>
        <v>0</v>
      </c>
      <c r="BE274" s="50">
        <v>0</v>
      </c>
      <c r="BF274" s="50">
        <f>274</f>
        <v>274</v>
      </c>
      <c r="BH274" s="50">
        <f>F274*AO274</f>
        <v>0</v>
      </c>
      <c r="BI274" s="50">
        <f>F274*AP274</f>
        <v>0</v>
      </c>
      <c r="BJ274" s="50">
        <f>F274*G274</f>
        <v>0</v>
      </c>
      <c r="BK274" s="52" t="s">
        <v>122</v>
      </c>
      <c r="BL274" s="50">
        <v>783</v>
      </c>
      <c r="BW274" s="50">
        <v>21</v>
      </c>
      <c r="BX274" s="3" t="s">
        <v>573</v>
      </c>
    </row>
    <row r="275" spans="1:76" ht="14.4" x14ac:dyDescent="0.3">
      <c r="A275" s="53"/>
      <c r="C275" s="54" t="s">
        <v>576</v>
      </c>
      <c r="D275" s="54" t="s">
        <v>4</v>
      </c>
      <c r="F275" s="55">
        <v>8.1839999999999993</v>
      </c>
      <c r="K275" s="56"/>
    </row>
    <row r="276" spans="1:76" ht="14.4" x14ac:dyDescent="0.3">
      <c r="A276" s="1" t="s">
        <v>577</v>
      </c>
      <c r="B276" s="2" t="s">
        <v>578</v>
      </c>
      <c r="C276" s="75" t="s">
        <v>579</v>
      </c>
      <c r="D276" s="70"/>
      <c r="E276" s="2" t="s">
        <v>177</v>
      </c>
      <c r="F276" s="50">
        <v>78.53</v>
      </c>
      <c r="G276" s="50">
        <v>0</v>
      </c>
      <c r="H276" s="50">
        <f>ROUND(F276*AO276,2)</f>
        <v>0</v>
      </c>
      <c r="I276" s="50">
        <f>ROUND(F276*AP276,2)</f>
        <v>0</v>
      </c>
      <c r="J276" s="50">
        <f>ROUND(F276*G276,2)</f>
        <v>0</v>
      </c>
      <c r="K276" s="51" t="s">
        <v>253</v>
      </c>
      <c r="Z276" s="50">
        <f>ROUND(IF(AQ276="5",BJ276,0),2)</f>
        <v>0</v>
      </c>
      <c r="AB276" s="50">
        <f>ROUND(IF(AQ276="1",BH276,0),2)</f>
        <v>0</v>
      </c>
      <c r="AC276" s="50">
        <f>ROUND(IF(AQ276="1",BI276,0),2)</f>
        <v>0</v>
      </c>
      <c r="AD276" s="50">
        <f>ROUND(IF(AQ276="7",BH276,0),2)</f>
        <v>0</v>
      </c>
      <c r="AE276" s="50">
        <f>ROUND(IF(AQ276="7",BI276,0),2)</f>
        <v>0</v>
      </c>
      <c r="AF276" s="50">
        <f>ROUND(IF(AQ276="2",BH276,0),2)</f>
        <v>0</v>
      </c>
      <c r="AG276" s="50">
        <f>ROUND(IF(AQ276="2",BI276,0),2)</f>
        <v>0</v>
      </c>
      <c r="AH276" s="50">
        <f>ROUND(IF(AQ276="0",BJ276,0),2)</f>
        <v>0</v>
      </c>
      <c r="AI276" s="32" t="s">
        <v>4</v>
      </c>
      <c r="AJ276" s="50">
        <f>IF(AN276=0,J276,0)</f>
        <v>0</v>
      </c>
      <c r="AK276" s="50">
        <f>IF(AN276=12,J276,0)</f>
        <v>0</v>
      </c>
      <c r="AL276" s="50">
        <f>IF(AN276=21,J276,0)</f>
        <v>0</v>
      </c>
      <c r="AN276" s="50">
        <v>21</v>
      </c>
      <c r="AO276" s="50">
        <f>G276*0.607419401</f>
        <v>0</v>
      </c>
      <c r="AP276" s="50">
        <f>G276*(1-0.607419401)</f>
        <v>0</v>
      </c>
      <c r="AQ276" s="52" t="s">
        <v>153</v>
      </c>
      <c r="AV276" s="50">
        <f>ROUND(AW276+AX276,2)</f>
        <v>0</v>
      </c>
      <c r="AW276" s="50">
        <f>ROUND(F276*AO276,2)</f>
        <v>0</v>
      </c>
      <c r="AX276" s="50">
        <f>ROUND(F276*AP276,2)</f>
        <v>0</v>
      </c>
      <c r="AY276" s="52" t="s">
        <v>574</v>
      </c>
      <c r="AZ276" s="52" t="s">
        <v>575</v>
      </c>
      <c r="BA276" s="32" t="s">
        <v>121</v>
      </c>
      <c r="BC276" s="50">
        <f>AW276+AX276</f>
        <v>0</v>
      </c>
      <c r="BD276" s="50">
        <f>G276/(100-BE276)*100</f>
        <v>0</v>
      </c>
      <c r="BE276" s="50">
        <v>0</v>
      </c>
      <c r="BF276" s="50">
        <f>276</f>
        <v>276</v>
      </c>
      <c r="BH276" s="50">
        <f>F276*AO276</f>
        <v>0</v>
      </c>
      <c r="BI276" s="50">
        <f>F276*AP276</f>
        <v>0</v>
      </c>
      <c r="BJ276" s="50">
        <f>F276*G276</f>
        <v>0</v>
      </c>
      <c r="BK276" s="52" t="s">
        <v>122</v>
      </c>
      <c r="BL276" s="50">
        <v>783</v>
      </c>
      <c r="BW276" s="50">
        <v>21</v>
      </c>
      <c r="BX276" s="3" t="s">
        <v>579</v>
      </c>
    </row>
    <row r="277" spans="1:76" ht="14.4" x14ac:dyDescent="0.3">
      <c r="A277" s="53"/>
      <c r="C277" s="54" t="s">
        <v>580</v>
      </c>
      <c r="D277" s="54" t="s">
        <v>4</v>
      </c>
      <c r="F277" s="55">
        <v>78.53</v>
      </c>
      <c r="K277" s="56"/>
    </row>
    <row r="278" spans="1:76" ht="14.4" x14ac:dyDescent="0.3">
      <c r="A278" s="46" t="s">
        <v>4</v>
      </c>
      <c r="B278" s="47" t="s">
        <v>581</v>
      </c>
      <c r="C278" s="148" t="s">
        <v>582</v>
      </c>
      <c r="D278" s="149"/>
      <c r="E278" s="48" t="s">
        <v>79</v>
      </c>
      <c r="F278" s="48" t="s">
        <v>79</v>
      </c>
      <c r="G278" s="48" t="s">
        <v>79</v>
      </c>
      <c r="H278" s="26">
        <f>ROUND(SUM(H279:H288),2)</f>
        <v>0</v>
      </c>
      <c r="I278" s="26">
        <f>ROUND(SUM(I279:I288),2)</f>
        <v>0</v>
      </c>
      <c r="J278" s="26">
        <f>ROUND(SUM(J279:J288),2)</f>
        <v>0</v>
      </c>
      <c r="K278" s="49" t="s">
        <v>4</v>
      </c>
      <c r="AI278" s="32" t="s">
        <v>4</v>
      </c>
      <c r="AS278" s="26">
        <f>SUM(AJ279:AJ288)</f>
        <v>0</v>
      </c>
      <c r="AT278" s="26">
        <f>SUM(AK279:AK288)</f>
        <v>0</v>
      </c>
      <c r="AU278" s="26">
        <f>SUM(AL279:AL288)</f>
        <v>0</v>
      </c>
    </row>
    <row r="279" spans="1:76" ht="14.4" x14ac:dyDescent="0.3">
      <c r="A279" s="1" t="s">
        <v>583</v>
      </c>
      <c r="B279" s="2" t="s">
        <v>584</v>
      </c>
      <c r="C279" s="75" t="s">
        <v>585</v>
      </c>
      <c r="D279" s="70"/>
      <c r="E279" s="2" t="s">
        <v>177</v>
      </c>
      <c r="F279" s="50">
        <v>148.32</v>
      </c>
      <c r="G279" s="50">
        <v>0</v>
      </c>
      <c r="H279" s="50">
        <f>ROUND(F279*AO279,2)</f>
        <v>0</v>
      </c>
      <c r="I279" s="50">
        <f>ROUND(F279*AP279,2)</f>
        <v>0</v>
      </c>
      <c r="J279" s="50">
        <f>ROUND(F279*G279,2)</f>
        <v>0</v>
      </c>
      <c r="K279" s="51" t="s">
        <v>253</v>
      </c>
      <c r="Z279" s="50">
        <f>ROUND(IF(AQ279="5",BJ279,0),2)</f>
        <v>0</v>
      </c>
      <c r="AB279" s="50">
        <f>ROUND(IF(AQ279="1",BH279,0),2)</f>
        <v>0</v>
      </c>
      <c r="AC279" s="50">
        <f>ROUND(IF(AQ279="1",BI279,0),2)</f>
        <v>0</v>
      </c>
      <c r="AD279" s="50">
        <f>ROUND(IF(AQ279="7",BH279,0),2)</f>
        <v>0</v>
      </c>
      <c r="AE279" s="50">
        <f>ROUND(IF(AQ279="7",BI279,0),2)</f>
        <v>0</v>
      </c>
      <c r="AF279" s="50">
        <f>ROUND(IF(AQ279="2",BH279,0),2)</f>
        <v>0</v>
      </c>
      <c r="AG279" s="50">
        <f>ROUND(IF(AQ279="2",BI279,0),2)</f>
        <v>0</v>
      </c>
      <c r="AH279" s="50">
        <f>ROUND(IF(AQ279="0",BJ279,0),2)</f>
        <v>0</v>
      </c>
      <c r="AI279" s="32" t="s">
        <v>4</v>
      </c>
      <c r="AJ279" s="50">
        <f>IF(AN279=0,J279,0)</f>
        <v>0</v>
      </c>
      <c r="AK279" s="50">
        <f>IF(AN279=12,J279,0)</f>
        <v>0</v>
      </c>
      <c r="AL279" s="50">
        <f>IF(AN279=21,J279,0)</f>
        <v>0</v>
      </c>
      <c r="AN279" s="50">
        <v>21</v>
      </c>
      <c r="AO279" s="50">
        <f>G279*0.294847749</f>
        <v>0</v>
      </c>
      <c r="AP279" s="50">
        <f>G279*(1-0.294847749)</f>
        <v>0</v>
      </c>
      <c r="AQ279" s="52" t="s">
        <v>153</v>
      </c>
      <c r="AV279" s="50">
        <f>ROUND(AW279+AX279,2)</f>
        <v>0</v>
      </c>
      <c r="AW279" s="50">
        <f>ROUND(F279*AO279,2)</f>
        <v>0</v>
      </c>
      <c r="AX279" s="50">
        <f>ROUND(F279*AP279,2)</f>
        <v>0</v>
      </c>
      <c r="AY279" s="52" t="s">
        <v>586</v>
      </c>
      <c r="AZ279" s="52" t="s">
        <v>575</v>
      </c>
      <c r="BA279" s="32" t="s">
        <v>121</v>
      </c>
      <c r="BC279" s="50">
        <f>AW279+AX279</f>
        <v>0</v>
      </c>
      <c r="BD279" s="50">
        <f>G279/(100-BE279)*100</f>
        <v>0</v>
      </c>
      <c r="BE279" s="50">
        <v>0</v>
      </c>
      <c r="BF279" s="50">
        <f>279</f>
        <v>279</v>
      </c>
      <c r="BH279" s="50">
        <f>F279*AO279</f>
        <v>0</v>
      </c>
      <c r="BI279" s="50">
        <f>F279*AP279</f>
        <v>0</v>
      </c>
      <c r="BJ279" s="50">
        <f>F279*G279</f>
        <v>0</v>
      </c>
      <c r="BK279" s="52" t="s">
        <v>122</v>
      </c>
      <c r="BL279" s="50">
        <v>784</v>
      </c>
      <c r="BW279" s="50">
        <v>21</v>
      </c>
      <c r="BX279" s="3" t="s">
        <v>585</v>
      </c>
    </row>
    <row r="280" spans="1:76" ht="14.4" x14ac:dyDescent="0.3">
      <c r="A280" s="53"/>
      <c r="C280" s="54" t="s">
        <v>266</v>
      </c>
      <c r="D280" s="54" t="s">
        <v>4</v>
      </c>
      <c r="F280" s="55">
        <v>56.8</v>
      </c>
      <c r="K280" s="56"/>
    </row>
    <row r="281" spans="1:76" ht="14.4" x14ac:dyDescent="0.3">
      <c r="A281" s="53"/>
      <c r="C281" s="54" t="s">
        <v>298</v>
      </c>
      <c r="D281" s="54" t="s">
        <v>4</v>
      </c>
      <c r="F281" s="55">
        <v>38.76</v>
      </c>
      <c r="K281" s="56"/>
    </row>
    <row r="282" spans="1:76" ht="14.4" x14ac:dyDescent="0.3">
      <c r="A282" s="53"/>
      <c r="C282" s="54" t="s">
        <v>344</v>
      </c>
      <c r="D282" s="54" t="s">
        <v>4</v>
      </c>
      <c r="F282" s="55">
        <v>60</v>
      </c>
      <c r="K282" s="56"/>
    </row>
    <row r="283" spans="1:76" ht="14.4" x14ac:dyDescent="0.3">
      <c r="A283" s="53"/>
      <c r="C283" s="54" t="s">
        <v>229</v>
      </c>
      <c r="D283" s="54" t="s">
        <v>4</v>
      </c>
      <c r="F283" s="55">
        <v>-5.59</v>
      </c>
      <c r="K283" s="56"/>
    </row>
    <row r="284" spans="1:76" ht="14.4" x14ac:dyDescent="0.3">
      <c r="A284" s="53"/>
      <c r="C284" s="54" t="s">
        <v>231</v>
      </c>
      <c r="D284" s="54" t="s">
        <v>4</v>
      </c>
      <c r="F284" s="55">
        <v>-0.9375</v>
      </c>
      <c r="K284" s="56"/>
    </row>
    <row r="285" spans="1:76" ht="14.4" x14ac:dyDescent="0.3">
      <c r="A285" s="53"/>
      <c r="C285" s="54" t="s">
        <v>345</v>
      </c>
      <c r="D285" s="54" t="s">
        <v>4</v>
      </c>
      <c r="F285" s="55">
        <v>-1.89</v>
      </c>
      <c r="K285" s="56"/>
    </row>
    <row r="286" spans="1:76" ht="14.4" x14ac:dyDescent="0.3">
      <c r="A286" s="53"/>
      <c r="C286" s="54" t="s">
        <v>349</v>
      </c>
      <c r="D286" s="54" t="s">
        <v>4</v>
      </c>
      <c r="F286" s="55">
        <v>0.41249999999999998</v>
      </c>
      <c r="K286" s="56"/>
    </row>
    <row r="287" spans="1:76" ht="14.4" x14ac:dyDescent="0.3">
      <c r="A287" s="53"/>
      <c r="C287" s="54" t="s">
        <v>350</v>
      </c>
      <c r="D287" s="54" t="s">
        <v>4</v>
      </c>
      <c r="F287" s="55">
        <v>0.76500000000000001</v>
      </c>
      <c r="K287" s="56"/>
    </row>
    <row r="288" spans="1:76" ht="14.4" x14ac:dyDescent="0.3">
      <c r="A288" s="1" t="s">
        <v>587</v>
      </c>
      <c r="B288" s="2" t="s">
        <v>588</v>
      </c>
      <c r="C288" s="75" t="s">
        <v>589</v>
      </c>
      <c r="D288" s="70"/>
      <c r="E288" s="2" t="s">
        <v>177</v>
      </c>
      <c r="F288" s="50">
        <v>148.32</v>
      </c>
      <c r="G288" s="50">
        <v>0</v>
      </c>
      <c r="H288" s="50">
        <f>ROUND(F288*AO288,2)</f>
        <v>0</v>
      </c>
      <c r="I288" s="50">
        <f>ROUND(F288*AP288,2)</f>
        <v>0</v>
      </c>
      <c r="J288" s="50">
        <f>ROUND(F288*G288,2)</f>
        <v>0</v>
      </c>
      <c r="K288" s="51" t="s">
        <v>253</v>
      </c>
      <c r="Z288" s="50">
        <f>ROUND(IF(AQ288="5",BJ288,0),2)</f>
        <v>0</v>
      </c>
      <c r="AB288" s="50">
        <f>ROUND(IF(AQ288="1",BH288,0),2)</f>
        <v>0</v>
      </c>
      <c r="AC288" s="50">
        <f>ROUND(IF(AQ288="1",BI288,0),2)</f>
        <v>0</v>
      </c>
      <c r="AD288" s="50">
        <f>ROUND(IF(AQ288="7",BH288,0),2)</f>
        <v>0</v>
      </c>
      <c r="AE288" s="50">
        <f>ROUND(IF(AQ288="7",BI288,0),2)</f>
        <v>0</v>
      </c>
      <c r="AF288" s="50">
        <f>ROUND(IF(AQ288="2",BH288,0),2)</f>
        <v>0</v>
      </c>
      <c r="AG288" s="50">
        <f>ROUND(IF(AQ288="2",BI288,0),2)</f>
        <v>0</v>
      </c>
      <c r="AH288" s="50">
        <f>ROUND(IF(AQ288="0",BJ288,0),2)</f>
        <v>0</v>
      </c>
      <c r="AI288" s="32" t="s">
        <v>4</v>
      </c>
      <c r="AJ288" s="50">
        <f>IF(AN288=0,J288,0)</f>
        <v>0</v>
      </c>
      <c r="AK288" s="50">
        <f>IF(AN288=12,J288,0)</f>
        <v>0</v>
      </c>
      <c r="AL288" s="50">
        <f>IF(AN288=21,J288,0)</f>
        <v>0</v>
      </c>
      <c r="AN288" s="50">
        <v>21</v>
      </c>
      <c r="AO288" s="50">
        <f>G288*0.154745471</f>
        <v>0</v>
      </c>
      <c r="AP288" s="50">
        <f>G288*(1-0.154745471)</f>
        <v>0</v>
      </c>
      <c r="AQ288" s="52" t="s">
        <v>153</v>
      </c>
      <c r="AV288" s="50">
        <f>ROUND(AW288+AX288,2)</f>
        <v>0</v>
      </c>
      <c r="AW288" s="50">
        <f>ROUND(F288*AO288,2)</f>
        <v>0</v>
      </c>
      <c r="AX288" s="50">
        <f>ROUND(F288*AP288,2)</f>
        <v>0</v>
      </c>
      <c r="AY288" s="52" t="s">
        <v>586</v>
      </c>
      <c r="AZ288" s="52" t="s">
        <v>575</v>
      </c>
      <c r="BA288" s="32" t="s">
        <v>121</v>
      </c>
      <c r="BC288" s="50">
        <f>AW288+AX288</f>
        <v>0</v>
      </c>
      <c r="BD288" s="50">
        <f>G288/(100-BE288)*100</f>
        <v>0</v>
      </c>
      <c r="BE288" s="50">
        <v>0</v>
      </c>
      <c r="BF288" s="50">
        <f>288</f>
        <v>288</v>
      </c>
      <c r="BH288" s="50">
        <f>F288*AO288</f>
        <v>0</v>
      </c>
      <c r="BI288" s="50">
        <f>F288*AP288</f>
        <v>0</v>
      </c>
      <c r="BJ288" s="50">
        <f>F288*G288</f>
        <v>0</v>
      </c>
      <c r="BK288" s="52" t="s">
        <v>122</v>
      </c>
      <c r="BL288" s="50">
        <v>784</v>
      </c>
      <c r="BW288" s="50">
        <v>21</v>
      </c>
      <c r="BX288" s="3" t="s">
        <v>589</v>
      </c>
    </row>
    <row r="289" spans="1:76" ht="14.4" x14ac:dyDescent="0.3">
      <c r="A289" s="53"/>
      <c r="C289" s="54" t="s">
        <v>266</v>
      </c>
      <c r="D289" s="54" t="s">
        <v>4</v>
      </c>
      <c r="F289" s="55">
        <v>56.8</v>
      </c>
      <c r="K289" s="56"/>
    </row>
    <row r="290" spans="1:76" ht="14.4" x14ac:dyDescent="0.3">
      <c r="A290" s="53"/>
      <c r="C290" s="54" t="s">
        <v>298</v>
      </c>
      <c r="D290" s="54" t="s">
        <v>4</v>
      </c>
      <c r="F290" s="55">
        <v>38.76</v>
      </c>
      <c r="K290" s="56"/>
    </row>
    <row r="291" spans="1:76" ht="14.4" x14ac:dyDescent="0.3">
      <c r="A291" s="53"/>
      <c r="C291" s="54" t="s">
        <v>344</v>
      </c>
      <c r="D291" s="54" t="s">
        <v>4</v>
      </c>
      <c r="F291" s="55">
        <v>60</v>
      </c>
      <c r="K291" s="56"/>
    </row>
    <row r="292" spans="1:76" ht="14.4" x14ac:dyDescent="0.3">
      <c r="A292" s="53"/>
      <c r="C292" s="54" t="s">
        <v>229</v>
      </c>
      <c r="D292" s="54" t="s">
        <v>4</v>
      </c>
      <c r="F292" s="55">
        <v>-5.59</v>
      </c>
      <c r="K292" s="56"/>
    </row>
    <row r="293" spans="1:76" ht="14.4" x14ac:dyDescent="0.3">
      <c r="A293" s="53"/>
      <c r="C293" s="54" t="s">
        <v>231</v>
      </c>
      <c r="D293" s="54" t="s">
        <v>4</v>
      </c>
      <c r="F293" s="55">
        <v>-0.9375</v>
      </c>
      <c r="K293" s="56"/>
    </row>
    <row r="294" spans="1:76" ht="14.4" x14ac:dyDescent="0.3">
      <c r="A294" s="53"/>
      <c r="C294" s="54" t="s">
        <v>345</v>
      </c>
      <c r="D294" s="54" t="s">
        <v>4</v>
      </c>
      <c r="F294" s="55">
        <v>-1.89</v>
      </c>
      <c r="K294" s="56"/>
    </row>
    <row r="295" spans="1:76" ht="14.4" x14ac:dyDescent="0.3">
      <c r="A295" s="53"/>
      <c r="C295" s="54" t="s">
        <v>349</v>
      </c>
      <c r="D295" s="54" t="s">
        <v>4</v>
      </c>
      <c r="F295" s="55">
        <v>0.41249999999999998</v>
      </c>
      <c r="K295" s="56"/>
    </row>
    <row r="296" spans="1:76" ht="14.4" x14ac:dyDescent="0.3">
      <c r="A296" s="53"/>
      <c r="C296" s="54" t="s">
        <v>350</v>
      </c>
      <c r="D296" s="54" t="s">
        <v>4</v>
      </c>
      <c r="F296" s="55">
        <v>0.76500000000000001</v>
      </c>
      <c r="K296" s="56"/>
    </row>
    <row r="297" spans="1:76" ht="14.4" x14ac:dyDescent="0.3">
      <c r="A297" s="46" t="s">
        <v>4</v>
      </c>
      <c r="B297" s="47" t="s">
        <v>534</v>
      </c>
      <c r="C297" s="148" t="s">
        <v>590</v>
      </c>
      <c r="D297" s="149"/>
      <c r="E297" s="48" t="s">
        <v>79</v>
      </c>
      <c r="F297" s="48" t="s">
        <v>79</v>
      </c>
      <c r="G297" s="48" t="s">
        <v>79</v>
      </c>
      <c r="H297" s="26">
        <f>ROUND(SUM(H298:H298),2)</f>
        <v>0</v>
      </c>
      <c r="I297" s="26">
        <f>ROUND(SUM(I298:I298),2)</f>
        <v>0</v>
      </c>
      <c r="J297" s="26">
        <f>ROUND(SUM(J298:J298),2)</f>
        <v>0</v>
      </c>
      <c r="K297" s="49" t="s">
        <v>4</v>
      </c>
      <c r="AI297" s="32" t="s">
        <v>4</v>
      </c>
      <c r="AS297" s="26">
        <f>SUM(AJ298:AJ298)</f>
        <v>0</v>
      </c>
      <c r="AT297" s="26">
        <f>SUM(AK298:AK298)</f>
        <v>0</v>
      </c>
      <c r="AU297" s="26">
        <f>SUM(AL298:AL298)</f>
        <v>0</v>
      </c>
    </row>
    <row r="298" spans="1:76" ht="14.4" x14ac:dyDescent="0.3">
      <c r="A298" s="1" t="s">
        <v>591</v>
      </c>
      <c r="B298" s="2" t="s">
        <v>592</v>
      </c>
      <c r="C298" s="75" t="s">
        <v>593</v>
      </c>
      <c r="D298" s="70"/>
      <c r="E298" s="2" t="s">
        <v>257</v>
      </c>
      <c r="F298" s="50">
        <v>3</v>
      </c>
      <c r="G298" s="50">
        <v>0</v>
      </c>
      <c r="H298" s="50">
        <f>ROUND(F298*AO298,2)</f>
        <v>0</v>
      </c>
      <c r="I298" s="50">
        <f>ROUND(F298*AP298,2)</f>
        <v>0</v>
      </c>
      <c r="J298" s="50">
        <f>ROUND(F298*G298,2)</f>
        <v>0</v>
      </c>
      <c r="K298" s="51" t="s">
        <v>118</v>
      </c>
      <c r="Z298" s="50">
        <f>ROUND(IF(AQ298="5",BJ298,0),2)</f>
        <v>0</v>
      </c>
      <c r="AB298" s="50">
        <f>ROUND(IF(AQ298="1",BH298,0),2)</f>
        <v>0</v>
      </c>
      <c r="AC298" s="50">
        <f>ROUND(IF(AQ298="1",BI298,0),2)</f>
        <v>0</v>
      </c>
      <c r="AD298" s="50">
        <f>ROUND(IF(AQ298="7",BH298,0),2)</f>
        <v>0</v>
      </c>
      <c r="AE298" s="50">
        <f>ROUND(IF(AQ298="7",BI298,0),2)</f>
        <v>0</v>
      </c>
      <c r="AF298" s="50">
        <f>ROUND(IF(AQ298="2",BH298,0),2)</f>
        <v>0</v>
      </c>
      <c r="AG298" s="50">
        <f>ROUND(IF(AQ298="2",BI298,0),2)</f>
        <v>0</v>
      </c>
      <c r="AH298" s="50">
        <f>ROUND(IF(AQ298="0",BJ298,0),2)</f>
        <v>0</v>
      </c>
      <c r="AI298" s="32" t="s">
        <v>4</v>
      </c>
      <c r="AJ298" s="50">
        <f>IF(AN298=0,J298,0)</f>
        <v>0</v>
      </c>
      <c r="AK298" s="50">
        <f>IF(AN298=12,J298,0)</f>
        <v>0</v>
      </c>
      <c r="AL298" s="50">
        <f>IF(AN298=21,J298,0)</f>
        <v>0</v>
      </c>
      <c r="AN298" s="50">
        <v>21</v>
      </c>
      <c r="AO298" s="50">
        <f>G298*0.797286432</f>
        <v>0</v>
      </c>
      <c r="AP298" s="50">
        <f>G298*(1-0.797286432)</f>
        <v>0</v>
      </c>
      <c r="AQ298" s="52" t="s">
        <v>114</v>
      </c>
      <c r="AV298" s="50">
        <f>ROUND(AW298+AX298,2)</f>
        <v>0</v>
      </c>
      <c r="AW298" s="50">
        <f>ROUND(F298*AO298,2)</f>
        <v>0</v>
      </c>
      <c r="AX298" s="50">
        <f>ROUND(F298*AP298,2)</f>
        <v>0</v>
      </c>
      <c r="AY298" s="52" t="s">
        <v>594</v>
      </c>
      <c r="AZ298" s="52" t="s">
        <v>595</v>
      </c>
      <c r="BA298" s="32" t="s">
        <v>121</v>
      </c>
      <c r="BC298" s="50">
        <f>AW298+AX298</f>
        <v>0</v>
      </c>
      <c r="BD298" s="50">
        <f>G298/(100-BE298)*100</f>
        <v>0</v>
      </c>
      <c r="BE298" s="50">
        <v>0</v>
      </c>
      <c r="BF298" s="50">
        <f>298</f>
        <v>298</v>
      </c>
      <c r="BH298" s="50">
        <f>F298*AO298</f>
        <v>0</v>
      </c>
      <c r="BI298" s="50">
        <f>F298*AP298</f>
        <v>0</v>
      </c>
      <c r="BJ298" s="50">
        <f>F298*G298</f>
        <v>0</v>
      </c>
      <c r="BK298" s="52" t="s">
        <v>122</v>
      </c>
      <c r="BL298" s="50">
        <v>87</v>
      </c>
      <c r="BW298" s="50">
        <v>21</v>
      </c>
      <c r="BX298" s="3" t="s">
        <v>593</v>
      </c>
    </row>
    <row r="299" spans="1:76" ht="13.5" customHeight="1" x14ac:dyDescent="0.3">
      <c r="A299" s="53"/>
      <c r="B299" s="57" t="s">
        <v>157</v>
      </c>
      <c r="C299" s="150" t="s">
        <v>596</v>
      </c>
      <c r="D299" s="151"/>
      <c r="E299" s="151"/>
      <c r="F299" s="151"/>
      <c r="G299" s="151"/>
      <c r="H299" s="151"/>
      <c r="I299" s="151"/>
      <c r="J299" s="151"/>
      <c r="K299" s="152"/>
    </row>
    <row r="300" spans="1:76" ht="14.4" x14ac:dyDescent="0.3">
      <c r="A300" s="53"/>
      <c r="C300" s="54" t="s">
        <v>131</v>
      </c>
      <c r="D300" s="54" t="s">
        <v>4</v>
      </c>
      <c r="F300" s="55">
        <v>3</v>
      </c>
      <c r="K300" s="56"/>
    </row>
    <row r="301" spans="1:76" ht="14.4" x14ac:dyDescent="0.3">
      <c r="A301" s="46" t="s">
        <v>4</v>
      </c>
      <c r="B301" s="47" t="s">
        <v>563</v>
      </c>
      <c r="C301" s="148" t="s">
        <v>597</v>
      </c>
      <c r="D301" s="149"/>
      <c r="E301" s="48" t="s">
        <v>79</v>
      </c>
      <c r="F301" s="48" t="s">
        <v>79</v>
      </c>
      <c r="G301" s="48" t="s">
        <v>79</v>
      </c>
      <c r="H301" s="26">
        <f>ROUND(SUM(H302:H306),2)</f>
        <v>0</v>
      </c>
      <c r="I301" s="26">
        <f>ROUND(SUM(I302:I306),2)</f>
        <v>0</v>
      </c>
      <c r="J301" s="26">
        <f>ROUND(SUM(J302:J306),2)</f>
        <v>0</v>
      </c>
      <c r="K301" s="49" t="s">
        <v>4</v>
      </c>
      <c r="AI301" s="32" t="s">
        <v>4</v>
      </c>
      <c r="AS301" s="26">
        <f>SUM(AJ302:AJ306)</f>
        <v>0</v>
      </c>
      <c r="AT301" s="26">
        <f>SUM(AK302:AK306)</f>
        <v>0</v>
      </c>
      <c r="AU301" s="26">
        <f>SUM(AL302:AL306)</f>
        <v>0</v>
      </c>
    </row>
    <row r="302" spans="1:76" ht="14.4" x14ac:dyDescent="0.3">
      <c r="A302" s="1" t="s">
        <v>598</v>
      </c>
      <c r="B302" s="2" t="s">
        <v>599</v>
      </c>
      <c r="C302" s="75" t="s">
        <v>600</v>
      </c>
      <c r="D302" s="70"/>
      <c r="E302" s="2" t="s">
        <v>177</v>
      </c>
      <c r="F302" s="50">
        <v>71</v>
      </c>
      <c r="G302" s="50">
        <v>0</v>
      </c>
      <c r="H302" s="50">
        <f>ROUND(F302*AO302,2)</f>
        <v>0</v>
      </c>
      <c r="I302" s="50">
        <f>ROUND(F302*AP302,2)</f>
        <v>0</v>
      </c>
      <c r="J302" s="50">
        <f>ROUND(F302*G302,2)</f>
        <v>0</v>
      </c>
      <c r="K302" s="51" t="s">
        <v>253</v>
      </c>
      <c r="Z302" s="50">
        <f>ROUND(IF(AQ302="5",BJ302,0),2)</f>
        <v>0</v>
      </c>
      <c r="AB302" s="50">
        <f>ROUND(IF(AQ302="1",BH302,0),2)</f>
        <v>0</v>
      </c>
      <c r="AC302" s="50">
        <f>ROUND(IF(AQ302="1",BI302,0),2)</f>
        <v>0</v>
      </c>
      <c r="AD302" s="50">
        <f>ROUND(IF(AQ302="7",BH302,0),2)</f>
        <v>0</v>
      </c>
      <c r="AE302" s="50">
        <f>ROUND(IF(AQ302="7",BI302,0),2)</f>
        <v>0</v>
      </c>
      <c r="AF302" s="50">
        <f>ROUND(IF(AQ302="2",BH302,0),2)</f>
        <v>0</v>
      </c>
      <c r="AG302" s="50">
        <f>ROUND(IF(AQ302="2",BI302,0),2)</f>
        <v>0</v>
      </c>
      <c r="AH302" s="50">
        <f>ROUND(IF(AQ302="0",BJ302,0),2)</f>
        <v>0</v>
      </c>
      <c r="AI302" s="32" t="s">
        <v>4</v>
      </c>
      <c r="AJ302" s="50">
        <f>IF(AN302=0,J302,0)</f>
        <v>0</v>
      </c>
      <c r="AK302" s="50">
        <f>IF(AN302=12,J302,0)</f>
        <v>0</v>
      </c>
      <c r="AL302" s="50">
        <f>IF(AN302=21,J302,0)</f>
        <v>0</v>
      </c>
      <c r="AN302" s="50">
        <v>21</v>
      </c>
      <c r="AO302" s="50">
        <f>G302*0.000381728</f>
        <v>0</v>
      </c>
      <c r="AP302" s="50">
        <f>G302*(1-0.000381728)</f>
        <v>0</v>
      </c>
      <c r="AQ302" s="52" t="s">
        <v>114</v>
      </c>
      <c r="AV302" s="50">
        <f>ROUND(AW302+AX302,2)</f>
        <v>0</v>
      </c>
      <c r="AW302" s="50">
        <f>ROUND(F302*AO302,2)</f>
        <v>0</v>
      </c>
      <c r="AX302" s="50">
        <f>ROUND(F302*AP302,2)</f>
        <v>0</v>
      </c>
      <c r="AY302" s="52" t="s">
        <v>601</v>
      </c>
      <c r="AZ302" s="52" t="s">
        <v>602</v>
      </c>
      <c r="BA302" s="32" t="s">
        <v>121</v>
      </c>
      <c r="BC302" s="50">
        <f>AW302+AX302</f>
        <v>0</v>
      </c>
      <c r="BD302" s="50">
        <f>G302/(100-BE302)*100</f>
        <v>0</v>
      </c>
      <c r="BE302" s="50">
        <v>0</v>
      </c>
      <c r="BF302" s="50">
        <f>302</f>
        <v>302</v>
      </c>
      <c r="BH302" s="50">
        <f>F302*AO302</f>
        <v>0</v>
      </c>
      <c r="BI302" s="50">
        <f>F302*AP302</f>
        <v>0</v>
      </c>
      <c r="BJ302" s="50">
        <f>F302*G302</f>
        <v>0</v>
      </c>
      <c r="BK302" s="52" t="s">
        <v>122</v>
      </c>
      <c r="BL302" s="50">
        <v>94</v>
      </c>
      <c r="BW302" s="50">
        <v>21</v>
      </c>
      <c r="BX302" s="3" t="s">
        <v>600</v>
      </c>
    </row>
    <row r="303" spans="1:76" ht="14.4" x14ac:dyDescent="0.3">
      <c r="A303" s="53"/>
      <c r="C303" s="54" t="s">
        <v>468</v>
      </c>
      <c r="D303" s="54" t="s">
        <v>4</v>
      </c>
      <c r="F303" s="55">
        <v>71</v>
      </c>
      <c r="K303" s="56"/>
    </row>
    <row r="304" spans="1:76" ht="14.4" x14ac:dyDescent="0.3">
      <c r="A304" s="1" t="s">
        <v>603</v>
      </c>
      <c r="B304" s="2" t="s">
        <v>604</v>
      </c>
      <c r="C304" s="75" t="s">
        <v>605</v>
      </c>
      <c r="D304" s="70"/>
      <c r="E304" s="2" t="s">
        <v>177</v>
      </c>
      <c r="F304" s="50">
        <v>2130</v>
      </c>
      <c r="G304" s="50">
        <v>0</v>
      </c>
      <c r="H304" s="50">
        <f>ROUND(F304*AO304,2)</f>
        <v>0</v>
      </c>
      <c r="I304" s="50">
        <f>ROUND(F304*AP304,2)</f>
        <v>0</v>
      </c>
      <c r="J304" s="50">
        <f>ROUND(F304*G304,2)</f>
        <v>0</v>
      </c>
      <c r="K304" s="51" t="s">
        <v>253</v>
      </c>
      <c r="Z304" s="50">
        <f>ROUND(IF(AQ304="5",BJ304,0),2)</f>
        <v>0</v>
      </c>
      <c r="AB304" s="50">
        <f>ROUND(IF(AQ304="1",BH304,0),2)</f>
        <v>0</v>
      </c>
      <c r="AC304" s="50">
        <f>ROUND(IF(AQ304="1",BI304,0),2)</f>
        <v>0</v>
      </c>
      <c r="AD304" s="50">
        <f>ROUND(IF(AQ304="7",BH304,0),2)</f>
        <v>0</v>
      </c>
      <c r="AE304" s="50">
        <f>ROUND(IF(AQ304="7",BI304,0),2)</f>
        <v>0</v>
      </c>
      <c r="AF304" s="50">
        <f>ROUND(IF(AQ304="2",BH304,0),2)</f>
        <v>0</v>
      </c>
      <c r="AG304" s="50">
        <f>ROUND(IF(AQ304="2",BI304,0),2)</f>
        <v>0</v>
      </c>
      <c r="AH304" s="50">
        <f>ROUND(IF(AQ304="0",BJ304,0),2)</f>
        <v>0</v>
      </c>
      <c r="AI304" s="32" t="s">
        <v>4</v>
      </c>
      <c r="AJ304" s="50">
        <f>IF(AN304=0,J304,0)</f>
        <v>0</v>
      </c>
      <c r="AK304" s="50">
        <f>IF(AN304=12,J304,0)</f>
        <v>0</v>
      </c>
      <c r="AL304" s="50">
        <f>IF(AN304=21,J304,0)</f>
        <v>0</v>
      </c>
      <c r="AN304" s="50">
        <v>21</v>
      </c>
      <c r="AO304" s="50">
        <f>G304*0</f>
        <v>0</v>
      </c>
      <c r="AP304" s="50">
        <f>G304*(1-0)</f>
        <v>0</v>
      </c>
      <c r="AQ304" s="52" t="s">
        <v>114</v>
      </c>
      <c r="AV304" s="50">
        <f>ROUND(AW304+AX304,2)</f>
        <v>0</v>
      </c>
      <c r="AW304" s="50">
        <f>ROUND(F304*AO304,2)</f>
        <v>0</v>
      </c>
      <c r="AX304" s="50">
        <f>ROUND(F304*AP304,2)</f>
        <v>0</v>
      </c>
      <c r="AY304" s="52" t="s">
        <v>601</v>
      </c>
      <c r="AZ304" s="52" t="s">
        <v>602</v>
      </c>
      <c r="BA304" s="32" t="s">
        <v>121</v>
      </c>
      <c r="BC304" s="50">
        <f>AW304+AX304</f>
        <v>0</v>
      </c>
      <c r="BD304" s="50">
        <f>G304/(100-BE304)*100</f>
        <v>0</v>
      </c>
      <c r="BE304" s="50">
        <v>0</v>
      </c>
      <c r="BF304" s="50">
        <f>304</f>
        <v>304</v>
      </c>
      <c r="BH304" s="50">
        <f>F304*AO304</f>
        <v>0</v>
      </c>
      <c r="BI304" s="50">
        <f>F304*AP304</f>
        <v>0</v>
      </c>
      <c r="BJ304" s="50">
        <f>F304*G304</f>
        <v>0</v>
      </c>
      <c r="BK304" s="52" t="s">
        <v>122</v>
      </c>
      <c r="BL304" s="50">
        <v>94</v>
      </c>
      <c r="BW304" s="50">
        <v>21</v>
      </c>
      <c r="BX304" s="3" t="s">
        <v>605</v>
      </c>
    </row>
    <row r="305" spans="1:76" ht="14.4" x14ac:dyDescent="0.3">
      <c r="A305" s="53"/>
      <c r="C305" s="54" t="s">
        <v>606</v>
      </c>
      <c r="D305" s="54" t="s">
        <v>4</v>
      </c>
      <c r="F305" s="55">
        <v>2130</v>
      </c>
      <c r="K305" s="56"/>
    </row>
    <row r="306" spans="1:76" ht="14.4" x14ac:dyDescent="0.3">
      <c r="A306" s="1" t="s">
        <v>607</v>
      </c>
      <c r="B306" s="2" t="s">
        <v>608</v>
      </c>
      <c r="C306" s="75" t="s">
        <v>609</v>
      </c>
      <c r="D306" s="70"/>
      <c r="E306" s="2" t="s">
        <v>177</v>
      </c>
      <c r="F306" s="50">
        <v>71</v>
      </c>
      <c r="G306" s="50">
        <v>0</v>
      </c>
      <c r="H306" s="50">
        <f>ROUND(F306*AO306,2)</f>
        <v>0</v>
      </c>
      <c r="I306" s="50">
        <f>ROUND(F306*AP306,2)</f>
        <v>0</v>
      </c>
      <c r="J306" s="50">
        <f>ROUND(F306*G306,2)</f>
        <v>0</v>
      </c>
      <c r="K306" s="51" t="s">
        <v>253</v>
      </c>
      <c r="Z306" s="50">
        <f>ROUND(IF(AQ306="5",BJ306,0),2)</f>
        <v>0</v>
      </c>
      <c r="AB306" s="50">
        <f>ROUND(IF(AQ306="1",BH306,0),2)</f>
        <v>0</v>
      </c>
      <c r="AC306" s="50">
        <f>ROUND(IF(AQ306="1",BI306,0),2)</f>
        <v>0</v>
      </c>
      <c r="AD306" s="50">
        <f>ROUND(IF(AQ306="7",BH306,0),2)</f>
        <v>0</v>
      </c>
      <c r="AE306" s="50">
        <f>ROUND(IF(AQ306="7",BI306,0),2)</f>
        <v>0</v>
      </c>
      <c r="AF306" s="50">
        <f>ROUND(IF(AQ306="2",BH306,0),2)</f>
        <v>0</v>
      </c>
      <c r="AG306" s="50">
        <f>ROUND(IF(AQ306="2",BI306,0),2)</f>
        <v>0</v>
      </c>
      <c r="AH306" s="50">
        <f>ROUND(IF(AQ306="0",BJ306,0),2)</f>
        <v>0</v>
      </c>
      <c r="AI306" s="32" t="s">
        <v>4</v>
      </c>
      <c r="AJ306" s="50">
        <f>IF(AN306=0,J306,0)</f>
        <v>0</v>
      </c>
      <c r="AK306" s="50">
        <f>IF(AN306=12,J306,0)</f>
        <v>0</v>
      </c>
      <c r="AL306" s="50">
        <f>IF(AN306=21,J306,0)</f>
        <v>0</v>
      </c>
      <c r="AN306" s="50">
        <v>21</v>
      </c>
      <c r="AO306" s="50">
        <f>G306*0</f>
        <v>0</v>
      </c>
      <c r="AP306" s="50">
        <f>G306*(1-0)</f>
        <v>0</v>
      </c>
      <c r="AQ306" s="52" t="s">
        <v>114</v>
      </c>
      <c r="AV306" s="50">
        <f>ROUND(AW306+AX306,2)</f>
        <v>0</v>
      </c>
      <c r="AW306" s="50">
        <f>ROUND(F306*AO306,2)</f>
        <v>0</v>
      </c>
      <c r="AX306" s="50">
        <f>ROUND(F306*AP306,2)</f>
        <v>0</v>
      </c>
      <c r="AY306" s="52" t="s">
        <v>601</v>
      </c>
      <c r="AZ306" s="52" t="s">
        <v>602</v>
      </c>
      <c r="BA306" s="32" t="s">
        <v>121</v>
      </c>
      <c r="BC306" s="50">
        <f>AW306+AX306</f>
        <v>0</v>
      </c>
      <c r="BD306" s="50">
        <f>G306/(100-BE306)*100</f>
        <v>0</v>
      </c>
      <c r="BE306" s="50">
        <v>0</v>
      </c>
      <c r="BF306" s="50">
        <f>306</f>
        <v>306</v>
      </c>
      <c r="BH306" s="50">
        <f>F306*AO306</f>
        <v>0</v>
      </c>
      <c r="BI306" s="50">
        <f>F306*AP306</f>
        <v>0</v>
      </c>
      <c r="BJ306" s="50">
        <f>F306*G306</f>
        <v>0</v>
      </c>
      <c r="BK306" s="52" t="s">
        <v>122</v>
      </c>
      <c r="BL306" s="50">
        <v>94</v>
      </c>
      <c r="BW306" s="50">
        <v>21</v>
      </c>
      <c r="BX306" s="3" t="s">
        <v>609</v>
      </c>
    </row>
    <row r="307" spans="1:76" ht="14.4" x14ac:dyDescent="0.3">
      <c r="A307" s="53"/>
      <c r="C307" s="54" t="s">
        <v>468</v>
      </c>
      <c r="D307" s="54" t="s">
        <v>4</v>
      </c>
      <c r="F307" s="55">
        <v>71</v>
      </c>
      <c r="K307" s="56"/>
    </row>
    <row r="308" spans="1:76" ht="14.4" x14ac:dyDescent="0.3">
      <c r="A308" s="46" t="s">
        <v>4</v>
      </c>
      <c r="B308" s="47" t="s">
        <v>566</v>
      </c>
      <c r="C308" s="148" t="s">
        <v>610</v>
      </c>
      <c r="D308" s="149"/>
      <c r="E308" s="48" t="s">
        <v>79</v>
      </c>
      <c r="F308" s="48" t="s">
        <v>79</v>
      </c>
      <c r="G308" s="48" t="s">
        <v>79</v>
      </c>
      <c r="H308" s="26">
        <f>ROUND(SUM(H309:H309),2)</f>
        <v>0</v>
      </c>
      <c r="I308" s="26">
        <f>ROUND(SUM(I309:I309),2)</f>
        <v>0</v>
      </c>
      <c r="J308" s="26">
        <f>ROUND(SUM(J309:J309),2)</f>
        <v>0</v>
      </c>
      <c r="K308" s="49" t="s">
        <v>4</v>
      </c>
      <c r="AI308" s="32" t="s">
        <v>4</v>
      </c>
      <c r="AS308" s="26">
        <f>SUM(AJ309:AJ309)</f>
        <v>0</v>
      </c>
      <c r="AT308" s="26">
        <f>SUM(AK309:AK309)</f>
        <v>0</v>
      </c>
      <c r="AU308" s="26">
        <f>SUM(AL309:AL309)</f>
        <v>0</v>
      </c>
    </row>
    <row r="309" spans="1:76" ht="14.4" x14ac:dyDescent="0.3">
      <c r="A309" s="1" t="s">
        <v>611</v>
      </c>
      <c r="B309" s="2" t="s">
        <v>612</v>
      </c>
      <c r="C309" s="75" t="s">
        <v>613</v>
      </c>
      <c r="D309" s="70"/>
      <c r="E309" s="2" t="s">
        <v>257</v>
      </c>
      <c r="F309" s="50">
        <v>0.6</v>
      </c>
      <c r="G309" s="50">
        <v>0</v>
      </c>
      <c r="H309" s="50">
        <f>ROUND(F309*AO309,2)</f>
        <v>0</v>
      </c>
      <c r="I309" s="50">
        <f>ROUND(F309*AP309,2)</f>
        <v>0</v>
      </c>
      <c r="J309" s="50">
        <f>ROUND(F309*G309,2)</f>
        <v>0</v>
      </c>
      <c r="K309" s="51" t="s">
        <v>118</v>
      </c>
      <c r="Z309" s="50">
        <f>ROUND(IF(AQ309="5",BJ309,0),2)</f>
        <v>0</v>
      </c>
      <c r="AB309" s="50">
        <f>ROUND(IF(AQ309="1",BH309,0),2)</f>
        <v>0</v>
      </c>
      <c r="AC309" s="50">
        <f>ROUND(IF(AQ309="1",BI309,0),2)</f>
        <v>0</v>
      </c>
      <c r="AD309" s="50">
        <f>ROUND(IF(AQ309="7",BH309,0),2)</f>
        <v>0</v>
      </c>
      <c r="AE309" s="50">
        <f>ROUND(IF(AQ309="7",BI309,0),2)</f>
        <v>0</v>
      </c>
      <c r="AF309" s="50">
        <f>ROUND(IF(AQ309="2",BH309,0),2)</f>
        <v>0</v>
      </c>
      <c r="AG309" s="50">
        <f>ROUND(IF(AQ309="2",BI309,0),2)</f>
        <v>0</v>
      </c>
      <c r="AH309" s="50">
        <f>ROUND(IF(AQ309="0",BJ309,0),2)</f>
        <v>0</v>
      </c>
      <c r="AI309" s="32" t="s">
        <v>4</v>
      </c>
      <c r="AJ309" s="50">
        <f>IF(AN309=0,J309,0)</f>
        <v>0</v>
      </c>
      <c r="AK309" s="50">
        <f>IF(AN309=12,J309,0)</f>
        <v>0</v>
      </c>
      <c r="AL309" s="50">
        <f>IF(AN309=21,J309,0)</f>
        <v>0</v>
      </c>
      <c r="AN309" s="50">
        <v>21</v>
      </c>
      <c r="AO309" s="50">
        <f>G309*0.886856572</f>
        <v>0</v>
      </c>
      <c r="AP309" s="50">
        <f>G309*(1-0.886856572)</f>
        <v>0</v>
      </c>
      <c r="AQ309" s="52" t="s">
        <v>114</v>
      </c>
      <c r="AV309" s="50">
        <f>ROUND(AW309+AX309,2)</f>
        <v>0</v>
      </c>
      <c r="AW309" s="50">
        <f>ROUND(F309*AO309,2)</f>
        <v>0</v>
      </c>
      <c r="AX309" s="50">
        <f>ROUND(F309*AP309,2)</f>
        <v>0</v>
      </c>
      <c r="AY309" s="52" t="s">
        <v>614</v>
      </c>
      <c r="AZ309" s="52" t="s">
        <v>602</v>
      </c>
      <c r="BA309" s="32" t="s">
        <v>121</v>
      </c>
      <c r="BC309" s="50">
        <f>AW309+AX309</f>
        <v>0</v>
      </c>
      <c r="BD309" s="50">
        <f>G309/(100-BE309)*100</f>
        <v>0</v>
      </c>
      <c r="BE309" s="50">
        <v>0</v>
      </c>
      <c r="BF309" s="50">
        <f>309</f>
        <v>309</v>
      </c>
      <c r="BH309" s="50">
        <f>F309*AO309</f>
        <v>0</v>
      </c>
      <c r="BI309" s="50">
        <f>F309*AP309</f>
        <v>0</v>
      </c>
      <c r="BJ309" s="50">
        <f>F309*G309</f>
        <v>0</v>
      </c>
      <c r="BK309" s="52" t="s">
        <v>122</v>
      </c>
      <c r="BL309" s="50">
        <v>95</v>
      </c>
      <c r="BW309" s="50">
        <v>21</v>
      </c>
      <c r="BX309" s="3" t="s">
        <v>613</v>
      </c>
    </row>
    <row r="310" spans="1:76" ht="14.4" x14ac:dyDescent="0.3">
      <c r="A310" s="53"/>
      <c r="C310" s="54" t="s">
        <v>615</v>
      </c>
      <c r="D310" s="54" t="s">
        <v>4</v>
      </c>
      <c r="F310" s="55">
        <v>0.6</v>
      </c>
      <c r="K310" s="56"/>
    </row>
    <row r="311" spans="1:76" ht="14.4" x14ac:dyDescent="0.3">
      <c r="A311" s="46" t="s">
        <v>4</v>
      </c>
      <c r="B311" s="47" t="s">
        <v>571</v>
      </c>
      <c r="C311" s="148" t="s">
        <v>616</v>
      </c>
      <c r="D311" s="149"/>
      <c r="E311" s="48" t="s">
        <v>79</v>
      </c>
      <c r="F311" s="48" t="s">
        <v>79</v>
      </c>
      <c r="G311" s="48" t="s">
        <v>79</v>
      </c>
      <c r="H311" s="26">
        <f>ROUND(SUM(H312:H335),2)</f>
        <v>0</v>
      </c>
      <c r="I311" s="26">
        <f>ROUND(SUM(I312:I335),2)</f>
        <v>0</v>
      </c>
      <c r="J311" s="26">
        <f>ROUND(SUM(J312:J335),2)</f>
        <v>0</v>
      </c>
      <c r="K311" s="49" t="s">
        <v>4</v>
      </c>
      <c r="AI311" s="32" t="s">
        <v>4</v>
      </c>
      <c r="AS311" s="26">
        <f>SUM(AJ312:AJ335)</f>
        <v>0</v>
      </c>
      <c r="AT311" s="26">
        <f>SUM(AK312:AK335)</f>
        <v>0</v>
      </c>
      <c r="AU311" s="26">
        <f>SUM(AL312:AL335)</f>
        <v>0</v>
      </c>
    </row>
    <row r="312" spans="1:76" ht="14.4" x14ac:dyDescent="0.3">
      <c r="A312" s="1" t="s">
        <v>617</v>
      </c>
      <c r="B312" s="2" t="s">
        <v>618</v>
      </c>
      <c r="C312" s="75" t="s">
        <v>619</v>
      </c>
      <c r="D312" s="70"/>
      <c r="E312" s="2" t="s">
        <v>242</v>
      </c>
      <c r="F312" s="50">
        <v>2</v>
      </c>
      <c r="G312" s="50">
        <v>0</v>
      </c>
      <c r="H312" s="50">
        <f>ROUND(F312*AO312,2)</f>
        <v>0</v>
      </c>
      <c r="I312" s="50">
        <f>ROUND(F312*AP312,2)</f>
        <v>0</v>
      </c>
      <c r="J312" s="50">
        <f>ROUND(F312*G312,2)</f>
        <v>0</v>
      </c>
      <c r="K312" s="51" t="s">
        <v>118</v>
      </c>
      <c r="Z312" s="50">
        <f>ROUND(IF(AQ312="5",BJ312,0),2)</f>
        <v>0</v>
      </c>
      <c r="AB312" s="50">
        <f>ROUND(IF(AQ312="1",BH312,0),2)</f>
        <v>0</v>
      </c>
      <c r="AC312" s="50">
        <f>ROUND(IF(AQ312="1",BI312,0),2)</f>
        <v>0</v>
      </c>
      <c r="AD312" s="50">
        <f>ROUND(IF(AQ312="7",BH312,0),2)</f>
        <v>0</v>
      </c>
      <c r="AE312" s="50">
        <f>ROUND(IF(AQ312="7",BI312,0),2)</f>
        <v>0</v>
      </c>
      <c r="AF312" s="50">
        <f>ROUND(IF(AQ312="2",BH312,0),2)</f>
        <v>0</v>
      </c>
      <c r="AG312" s="50">
        <f>ROUND(IF(AQ312="2",BI312,0),2)</f>
        <v>0</v>
      </c>
      <c r="AH312" s="50">
        <f>ROUND(IF(AQ312="0",BJ312,0),2)</f>
        <v>0</v>
      </c>
      <c r="AI312" s="32" t="s">
        <v>4</v>
      </c>
      <c r="AJ312" s="50">
        <f>IF(AN312=0,J312,0)</f>
        <v>0</v>
      </c>
      <c r="AK312" s="50">
        <f>IF(AN312=12,J312,0)</f>
        <v>0</v>
      </c>
      <c r="AL312" s="50">
        <f>IF(AN312=21,J312,0)</f>
        <v>0</v>
      </c>
      <c r="AN312" s="50">
        <v>21</v>
      </c>
      <c r="AO312" s="50">
        <f>G312*0</f>
        <v>0</v>
      </c>
      <c r="AP312" s="50">
        <f>G312*(1-0)</f>
        <v>0</v>
      </c>
      <c r="AQ312" s="52" t="s">
        <v>114</v>
      </c>
      <c r="AV312" s="50">
        <f>ROUND(AW312+AX312,2)</f>
        <v>0</v>
      </c>
      <c r="AW312" s="50">
        <f>ROUND(F312*AO312,2)</f>
        <v>0</v>
      </c>
      <c r="AX312" s="50">
        <f>ROUND(F312*AP312,2)</f>
        <v>0</v>
      </c>
      <c r="AY312" s="52" t="s">
        <v>620</v>
      </c>
      <c r="AZ312" s="52" t="s">
        <v>602</v>
      </c>
      <c r="BA312" s="32" t="s">
        <v>121</v>
      </c>
      <c r="BC312" s="50">
        <f>AW312+AX312</f>
        <v>0</v>
      </c>
      <c r="BD312" s="50">
        <f>G312/(100-BE312)*100</f>
        <v>0</v>
      </c>
      <c r="BE312" s="50">
        <v>0</v>
      </c>
      <c r="BF312" s="50">
        <f>312</f>
        <v>312</v>
      </c>
      <c r="BH312" s="50">
        <f>F312*AO312</f>
        <v>0</v>
      </c>
      <c r="BI312" s="50">
        <f>F312*AP312</f>
        <v>0</v>
      </c>
      <c r="BJ312" s="50">
        <f>F312*G312</f>
        <v>0</v>
      </c>
      <c r="BK312" s="52" t="s">
        <v>122</v>
      </c>
      <c r="BL312" s="50">
        <v>96</v>
      </c>
      <c r="BW312" s="50">
        <v>21</v>
      </c>
      <c r="BX312" s="3" t="s">
        <v>619</v>
      </c>
    </row>
    <row r="313" spans="1:76" ht="14.4" x14ac:dyDescent="0.3">
      <c r="A313" s="53"/>
      <c r="C313" s="54" t="s">
        <v>126</v>
      </c>
      <c r="D313" s="54" t="s">
        <v>4</v>
      </c>
      <c r="F313" s="55">
        <v>2</v>
      </c>
      <c r="K313" s="56"/>
    </row>
    <row r="314" spans="1:76" ht="14.4" x14ac:dyDescent="0.3">
      <c r="A314" s="1" t="s">
        <v>621</v>
      </c>
      <c r="B314" s="2" t="s">
        <v>622</v>
      </c>
      <c r="C314" s="75" t="s">
        <v>623</v>
      </c>
      <c r="D314" s="70"/>
      <c r="E314" s="2" t="s">
        <v>177</v>
      </c>
      <c r="F314" s="50">
        <v>10.4</v>
      </c>
      <c r="G314" s="50">
        <v>0</v>
      </c>
      <c r="H314" s="50">
        <f>ROUND(F314*AO314,2)</f>
        <v>0</v>
      </c>
      <c r="I314" s="50">
        <f>ROUND(F314*AP314,2)</f>
        <v>0</v>
      </c>
      <c r="J314" s="50">
        <f>ROUND(F314*G314,2)</f>
        <v>0</v>
      </c>
      <c r="K314" s="51" t="s">
        <v>118</v>
      </c>
      <c r="Z314" s="50">
        <f>ROUND(IF(AQ314="5",BJ314,0),2)</f>
        <v>0</v>
      </c>
      <c r="AB314" s="50">
        <f>ROUND(IF(AQ314="1",BH314,0),2)</f>
        <v>0</v>
      </c>
      <c r="AC314" s="50">
        <f>ROUND(IF(AQ314="1",BI314,0),2)</f>
        <v>0</v>
      </c>
      <c r="AD314" s="50">
        <f>ROUND(IF(AQ314="7",BH314,0),2)</f>
        <v>0</v>
      </c>
      <c r="AE314" s="50">
        <f>ROUND(IF(AQ314="7",BI314,0),2)</f>
        <v>0</v>
      </c>
      <c r="AF314" s="50">
        <f>ROUND(IF(AQ314="2",BH314,0),2)</f>
        <v>0</v>
      </c>
      <c r="AG314" s="50">
        <f>ROUND(IF(AQ314="2",BI314,0),2)</f>
        <v>0</v>
      </c>
      <c r="AH314" s="50">
        <f>ROUND(IF(AQ314="0",BJ314,0),2)</f>
        <v>0</v>
      </c>
      <c r="AI314" s="32" t="s">
        <v>4</v>
      </c>
      <c r="AJ314" s="50">
        <f>IF(AN314=0,J314,0)</f>
        <v>0</v>
      </c>
      <c r="AK314" s="50">
        <f>IF(AN314=12,J314,0)</f>
        <v>0</v>
      </c>
      <c r="AL314" s="50">
        <f>IF(AN314=21,J314,0)</f>
        <v>0</v>
      </c>
      <c r="AN314" s="50">
        <v>21</v>
      </c>
      <c r="AO314" s="50">
        <f>G314*0.08423354</f>
        <v>0</v>
      </c>
      <c r="AP314" s="50">
        <f>G314*(1-0.08423354)</f>
        <v>0</v>
      </c>
      <c r="AQ314" s="52" t="s">
        <v>114</v>
      </c>
      <c r="AV314" s="50">
        <f>ROUND(AW314+AX314,2)</f>
        <v>0</v>
      </c>
      <c r="AW314" s="50">
        <f>ROUND(F314*AO314,2)</f>
        <v>0</v>
      </c>
      <c r="AX314" s="50">
        <f>ROUND(F314*AP314,2)</f>
        <v>0</v>
      </c>
      <c r="AY314" s="52" t="s">
        <v>620</v>
      </c>
      <c r="AZ314" s="52" t="s">
        <v>602</v>
      </c>
      <c r="BA314" s="32" t="s">
        <v>121</v>
      </c>
      <c r="BC314" s="50">
        <f>AW314+AX314</f>
        <v>0</v>
      </c>
      <c r="BD314" s="50">
        <f>G314/(100-BE314)*100</f>
        <v>0</v>
      </c>
      <c r="BE314" s="50">
        <v>0</v>
      </c>
      <c r="BF314" s="50">
        <f>314</f>
        <v>314</v>
      </c>
      <c r="BH314" s="50">
        <f>F314*AO314</f>
        <v>0</v>
      </c>
      <c r="BI314" s="50">
        <f>F314*AP314</f>
        <v>0</v>
      </c>
      <c r="BJ314" s="50">
        <f>F314*G314</f>
        <v>0</v>
      </c>
      <c r="BK314" s="52" t="s">
        <v>122</v>
      </c>
      <c r="BL314" s="50">
        <v>96</v>
      </c>
      <c r="BW314" s="50">
        <v>21</v>
      </c>
      <c r="BX314" s="3" t="s">
        <v>623</v>
      </c>
    </row>
    <row r="315" spans="1:76" ht="14.4" x14ac:dyDescent="0.3">
      <c r="A315" s="53"/>
      <c r="C315" s="54" t="s">
        <v>624</v>
      </c>
      <c r="D315" s="54" t="s">
        <v>4</v>
      </c>
      <c r="F315" s="55">
        <v>10.4</v>
      </c>
      <c r="K315" s="56"/>
    </row>
    <row r="316" spans="1:76" ht="14.4" x14ac:dyDescent="0.3">
      <c r="A316" s="1" t="s">
        <v>625</v>
      </c>
      <c r="B316" s="2" t="s">
        <v>626</v>
      </c>
      <c r="C316" s="75" t="s">
        <v>627</v>
      </c>
      <c r="D316" s="70"/>
      <c r="E316" s="2" t="s">
        <v>242</v>
      </c>
      <c r="F316" s="50">
        <v>2</v>
      </c>
      <c r="G316" s="50">
        <v>0</v>
      </c>
      <c r="H316" s="50">
        <f>ROUND(F316*AO316,2)</f>
        <v>0</v>
      </c>
      <c r="I316" s="50">
        <f>ROUND(F316*AP316,2)</f>
        <v>0</v>
      </c>
      <c r="J316" s="50">
        <f>ROUND(F316*G316,2)</f>
        <v>0</v>
      </c>
      <c r="K316" s="51" t="s">
        <v>118</v>
      </c>
      <c r="Z316" s="50">
        <f>ROUND(IF(AQ316="5",BJ316,0),2)</f>
        <v>0</v>
      </c>
      <c r="AB316" s="50">
        <f>ROUND(IF(AQ316="1",BH316,0),2)</f>
        <v>0</v>
      </c>
      <c r="AC316" s="50">
        <f>ROUND(IF(AQ316="1",BI316,0),2)</f>
        <v>0</v>
      </c>
      <c r="AD316" s="50">
        <f>ROUND(IF(AQ316="7",BH316,0),2)</f>
        <v>0</v>
      </c>
      <c r="AE316" s="50">
        <f>ROUND(IF(AQ316="7",BI316,0),2)</f>
        <v>0</v>
      </c>
      <c r="AF316" s="50">
        <f>ROUND(IF(AQ316="2",BH316,0),2)</f>
        <v>0</v>
      </c>
      <c r="AG316" s="50">
        <f>ROUND(IF(AQ316="2",BI316,0),2)</f>
        <v>0</v>
      </c>
      <c r="AH316" s="50">
        <f>ROUND(IF(AQ316="0",BJ316,0),2)</f>
        <v>0</v>
      </c>
      <c r="AI316" s="32" t="s">
        <v>4</v>
      </c>
      <c r="AJ316" s="50">
        <f>IF(AN316=0,J316,0)</f>
        <v>0</v>
      </c>
      <c r="AK316" s="50">
        <f>IF(AN316=12,J316,0)</f>
        <v>0</v>
      </c>
      <c r="AL316" s="50">
        <f>IF(AN316=21,J316,0)</f>
        <v>0</v>
      </c>
      <c r="AN316" s="50">
        <v>21</v>
      </c>
      <c r="AO316" s="50">
        <f>G316*0</f>
        <v>0</v>
      </c>
      <c r="AP316" s="50">
        <f>G316*(1-0)</f>
        <v>0</v>
      </c>
      <c r="AQ316" s="52" t="s">
        <v>114</v>
      </c>
      <c r="AV316" s="50">
        <f>ROUND(AW316+AX316,2)</f>
        <v>0</v>
      </c>
      <c r="AW316" s="50">
        <f>ROUND(F316*AO316,2)</f>
        <v>0</v>
      </c>
      <c r="AX316" s="50">
        <f>ROUND(F316*AP316,2)</f>
        <v>0</v>
      </c>
      <c r="AY316" s="52" t="s">
        <v>620</v>
      </c>
      <c r="AZ316" s="52" t="s">
        <v>602</v>
      </c>
      <c r="BA316" s="32" t="s">
        <v>121</v>
      </c>
      <c r="BC316" s="50">
        <f>AW316+AX316</f>
        <v>0</v>
      </c>
      <c r="BD316" s="50">
        <f>G316/(100-BE316)*100</f>
        <v>0</v>
      </c>
      <c r="BE316" s="50">
        <v>0</v>
      </c>
      <c r="BF316" s="50">
        <f>316</f>
        <v>316</v>
      </c>
      <c r="BH316" s="50">
        <f>F316*AO316</f>
        <v>0</v>
      </c>
      <c r="BI316" s="50">
        <f>F316*AP316</f>
        <v>0</v>
      </c>
      <c r="BJ316" s="50">
        <f>F316*G316</f>
        <v>0</v>
      </c>
      <c r="BK316" s="52" t="s">
        <v>122</v>
      </c>
      <c r="BL316" s="50">
        <v>96</v>
      </c>
      <c r="BW316" s="50">
        <v>21</v>
      </c>
      <c r="BX316" s="3" t="s">
        <v>627</v>
      </c>
    </row>
    <row r="317" spans="1:76" ht="14.4" x14ac:dyDescent="0.3">
      <c r="A317" s="53"/>
      <c r="C317" s="54" t="s">
        <v>126</v>
      </c>
      <c r="D317" s="54" t="s">
        <v>4</v>
      </c>
      <c r="F317" s="55">
        <v>2</v>
      </c>
      <c r="K317" s="56"/>
    </row>
    <row r="318" spans="1:76" ht="14.4" x14ac:dyDescent="0.3">
      <c r="A318" s="1" t="s">
        <v>628</v>
      </c>
      <c r="B318" s="2" t="s">
        <v>629</v>
      </c>
      <c r="C318" s="75" t="s">
        <v>630</v>
      </c>
      <c r="D318" s="70"/>
      <c r="E318" s="2" t="s">
        <v>242</v>
      </c>
      <c r="F318" s="50">
        <v>1</v>
      </c>
      <c r="G318" s="50">
        <v>0</v>
      </c>
      <c r="H318" s="50">
        <f>ROUND(F318*AO318,2)</f>
        <v>0</v>
      </c>
      <c r="I318" s="50">
        <f>ROUND(F318*AP318,2)</f>
        <v>0</v>
      </c>
      <c r="J318" s="50">
        <f>ROUND(F318*G318,2)</f>
        <v>0</v>
      </c>
      <c r="K318" s="51" t="s">
        <v>118</v>
      </c>
      <c r="Z318" s="50">
        <f>ROUND(IF(AQ318="5",BJ318,0),2)</f>
        <v>0</v>
      </c>
      <c r="AB318" s="50">
        <f>ROUND(IF(AQ318="1",BH318,0),2)</f>
        <v>0</v>
      </c>
      <c r="AC318" s="50">
        <f>ROUND(IF(AQ318="1",BI318,0),2)</f>
        <v>0</v>
      </c>
      <c r="AD318" s="50">
        <f>ROUND(IF(AQ318="7",BH318,0),2)</f>
        <v>0</v>
      </c>
      <c r="AE318" s="50">
        <f>ROUND(IF(AQ318="7",BI318,0),2)</f>
        <v>0</v>
      </c>
      <c r="AF318" s="50">
        <f>ROUND(IF(AQ318="2",BH318,0),2)</f>
        <v>0</v>
      </c>
      <c r="AG318" s="50">
        <f>ROUND(IF(AQ318="2",BI318,0),2)</f>
        <v>0</v>
      </c>
      <c r="AH318" s="50">
        <f>ROUND(IF(AQ318="0",BJ318,0),2)</f>
        <v>0</v>
      </c>
      <c r="AI318" s="32" t="s">
        <v>4</v>
      </c>
      <c r="AJ318" s="50">
        <f>IF(AN318=0,J318,0)</f>
        <v>0</v>
      </c>
      <c r="AK318" s="50">
        <f>IF(AN318=12,J318,0)</f>
        <v>0</v>
      </c>
      <c r="AL318" s="50">
        <f>IF(AN318=21,J318,0)</f>
        <v>0</v>
      </c>
      <c r="AN318" s="50">
        <v>21</v>
      </c>
      <c r="AO318" s="50">
        <f>G318*0</f>
        <v>0</v>
      </c>
      <c r="AP318" s="50">
        <f>G318*(1-0)</f>
        <v>0</v>
      </c>
      <c r="AQ318" s="52" t="s">
        <v>114</v>
      </c>
      <c r="AV318" s="50">
        <f>ROUND(AW318+AX318,2)</f>
        <v>0</v>
      </c>
      <c r="AW318" s="50">
        <f>ROUND(F318*AO318,2)</f>
        <v>0</v>
      </c>
      <c r="AX318" s="50">
        <f>ROUND(F318*AP318,2)</f>
        <v>0</v>
      </c>
      <c r="AY318" s="52" t="s">
        <v>620</v>
      </c>
      <c r="AZ318" s="52" t="s">
        <v>602</v>
      </c>
      <c r="BA318" s="32" t="s">
        <v>121</v>
      </c>
      <c r="BC318" s="50">
        <f>AW318+AX318</f>
        <v>0</v>
      </c>
      <c r="BD318" s="50">
        <f>G318/(100-BE318)*100</f>
        <v>0</v>
      </c>
      <c r="BE318" s="50">
        <v>0</v>
      </c>
      <c r="BF318" s="50">
        <f>318</f>
        <v>318</v>
      </c>
      <c r="BH318" s="50">
        <f>F318*AO318</f>
        <v>0</v>
      </c>
      <c r="BI318" s="50">
        <f>F318*AP318</f>
        <v>0</v>
      </c>
      <c r="BJ318" s="50">
        <f>F318*G318</f>
        <v>0</v>
      </c>
      <c r="BK318" s="52" t="s">
        <v>122</v>
      </c>
      <c r="BL318" s="50">
        <v>96</v>
      </c>
      <c r="BW318" s="50">
        <v>21</v>
      </c>
      <c r="BX318" s="3" t="s">
        <v>630</v>
      </c>
    </row>
    <row r="319" spans="1:76" ht="14.4" x14ac:dyDescent="0.3">
      <c r="A319" s="53"/>
      <c r="C319" s="54" t="s">
        <v>114</v>
      </c>
      <c r="D319" s="54" t="s">
        <v>4</v>
      </c>
      <c r="F319" s="55">
        <v>1</v>
      </c>
      <c r="K319" s="56"/>
    </row>
    <row r="320" spans="1:76" ht="14.4" x14ac:dyDescent="0.3">
      <c r="A320" s="1" t="s">
        <v>631</v>
      </c>
      <c r="B320" s="2" t="s">
        <v>632</v>
      </c>
      <c r="C320" s="75" t="s">
        <v>633</v>
      </c>
      <c r="D320" s="70"/>
      <c r="E320" s="2" t="s">
        <v>177</v>
      </c>
      <c r="F320" s="50">
        <v>0.25</v>
      </c>
      <c r="G320" s="50">
        <v>0</v>
      </c>
      <c r="H320" s="50">
        <f>ROUND(F320*AO320,2)</f>
        <v>0</v>
      </c>
      <c r="I320" s="50">
        <f>ROUND(F320*AP320,2)</f>
        <v>0</v>
      </c>
      <c r="J320" s="50">
        <f>ROUND(F320*G320,2)</f>
        <v>0</v>
      </c>
      <c r="K320" s="51" t="s">
        <v>118</v>
      </c>
      <c r="Z320" s="50">
        <f>ROUND(IF(AQ320="5",BJ320,0),2)</f>
        <v>0</v>
      </c>
      <c r="AB320" s="50">
        <f>ROUND(IF(AQ320="1",BH320,0),2)</f>
        <v>0</v>
      </c>
      <c r="AC320" s="50">
        <f>ROUND(IF(AQ320="1",BI320,0),2)</f>
        <v>0</v>
      </c>
      <c r="AD320" s="50">
        <f>ROUND(IF(AQ320="7",BH320,0),2)</f>
        <v>0</v>
      </c>
      <c r="AE320" s="50">
        <f>ROUND(IF(AQ320="7",BI320,0),2)</f>
        <v>0</v>
      </c>
      <c r="AF320" s="50">
        <f>ROUND(IF(AQ320="2",BH320,0),2)</f>
        <v>0</v>
      </c>
      <c r="AG320" s="50">
        <f>ROUND(IF(AQ320="2",BI320,0),2)</f>
        <v>0</v>
      </c>
      <c r="AH320" s="50">
        <f>ROUND(IF(AQ320="0",BJ320,0),2)</f>
        <v>0</v>
      </c>
      <c r="AI320" s="32" t="s">
        <v>4</v>
      </c>
      <c r="AJ320" s="50">
        <f>IF(AN320=0,J320,0)</f>
        <v>0</v>
      </c>
      <c r="AK320" s="50">
        <f>IF(AN320=12,J320,0)</f>
        <v>0</v>
      </c>
      <c r="AL320" s="50">
        <f>IF(AN320=21,J320,0)</f>
        <v>0</v>
      </c>
      <c r="AN320" s="50">
        <v>21</v>
      </c>
      <c r="AO320" s="50">
        <f>G320*0.190595238</f>
        <v>0</v>
      </c>
      <c r="AP320" s="50">
        <f>G320*(1-0.190595238)</f>
        <v>0</v>
      </c>
      <c r="AQ320" s="52" t="s">
        <v>114</v>
      </c>
      <c r="AV320" s="50">
        <f>ROUND(AW320+AX320,2)</f>
        <v>0</v>
      </c>
      <c r="AW320" s="50">
        <f>ROUND(F320*AO320,2)</f>
        <v>0</v>
      </c>
      <c r="AX320" s="50">
        <f>ROUND(F320*AP320,2)</f>
        <v>0</v>
      </c>
      <c r="AY320" s="52" t="s">
        <v>620</v>
      </c>
      <c r="AZ320" s="52" t="s">
        <v>602</v>
      </c>
      <c r="BA320" s="32" t="s">
        <v>121</v>
      </c>
      <c r="BC320" s="50">
        <f>AW320+AX320</f>
        <v>0</v>
      </c>
      <c r="BD320" s="50">
        <f>G320/(100-BE320)*100</f>
        <v>0</v>
      </c>
      <c r="BE320" s="50">
        <v>0</v>
      </c>
      <c r="BF320" s="50">
        <f>320</f>
        <v>320</v>
      </c>
      <c r="BH320" s="50">
        <f>F320*AO320</f>
        <v>0</v>
      </c>
      <c r="BI320" s="50">
        <f>F320*AP320</f>
        <v>0</v>
      </c>
      <c r="BJ320" s="50">
        <f>F320*G320</f>
        <v>0</v>
      </c>
      <c r="BK320" s="52" t="s">
        <v>122</v>
      </c>
      <c r="BL320" s="50">
        <v>96</v>
      </c>
      <c r="BW320" s="50">
        <v>21</v>
      </c>
      <c r="BX320" s="3" t="s">
        <v>633</v>
      </c>
    </row>
    <row r="321" spans="1:76" ht="14.4" x14ac:dyDescent="0.3">
      <c r="A321" s="53"/>
      <c r="C321" s="54" t="s">
        <v>634</v>
      </c>
      <c r="D321" s="54" t="s">
        <v>4</v>
      </c>
      <c r="F321" s="55">
        <v>0.25</v>
      </c>
      <c r="K321" s="56"/>
    </row>
    <row r="322" spans="1:76" ht="14.4" x14ac:dyDescent="0.3">
      <c r="A322" s="1" t="s">
        <v>635</v>
      </c>
      <c r="B322" s="2" t="s">
        <v>636</v>
      </c>
      <c r="C322" s="75" t="s">
        <v>637</v>
      </c>
      <c r="D322" s="70"/>
      <c r="E322" s="2" t="s">
        <v>177</v>
      </c>
      <c r="F322" s="50">
        <v>1.89</v>
      </c>
      <c r="G322" s="50">
        <v>0</v>
      </c>
      <c r="H322" s="50">
        <f>ROUND(F322*AO322,2)</f>
        <v>0</v>
      </c>
      <c r="I322" s="50">
        <f>ROUND(F322*AP322,2)</f>
        <v>0</v>
      </c>
      <c r="J322" s="50">
        <f>ROUND(F322*G322,2)</f>
        <v>0</v>
      </c>
      <c r="K322" s="51" t="s">
        <v>118</v>
      </c>
      <c r="Z322" s="50">
        <f>ROUND(IF(AQ322="5",BJ322,0),2)</f>
        <v>0</v>
      </c>
      <c r="AB322" s="50">
        <f>ROUND(IF(AQ322="1",BH322,0),2)</f>
        <v>0</v>
      </c>
      <c r="AC322" s="50">
        <f>ROUND(IF(AQ322="1",BI322,0),2)</f>
        <v>0</v>
      </c>
      <c r="AD322" s="50">
        <f>ROUND(IF(AQ322="7",BH322,0),2)</f>
        <v>0</v>
      </c>
      <c r="AE322" s="50">
        <f>ROUND(IF(AQ322="7",BI322,0),2)</f>
        <v>0</v>
      </c>
      <c r="AF322" s="50">
        <f>ROUND(IF(AQ322="2",BH322,0),2)</f>
        <v>0</v>
      </c>
      <c r="AG322" s="50">
        <f>ROUND(IF(AQ322="2",BI322,0),2)</f>
        <v>0</v>
      </c>
      <c r="AH322" s="50">
        <f>ROUND(IF(AQ322="0",BJ322,0),2)</f>
        <v>0</v>
      </c>
      <c r="AI322" s="32" t="s">
        <v>4</v>
      </c>
      <c r="AJ322" s="50">
        <f>IF(AN322=0,J322,0)</f>
        <v>0</v>
      </c>
      <c r="AK322" s="50">
        <f>IF(AN322=12,J322,0)</f>
        <v>0</v>
      </c>
      <c r="AL322" s="50">
        <f>IF(AN322=21,J322,0)</f>
        <v>0</v>
      </c>
      <c r="AN322" s="50">
        <v>21</v>
      </c>
      <c r="AO322" s="50">
        <f>G322*0.121381851</f>
        <v>0</v>
      </c>
      <c r="AP322" s="50">
        <f>G322*(1-0.121381851)</f>
        <v>0</v>
      </c>
      <c r="AQ322" s="52" t="s">
        <v>114</v>
      </c>
      <c r="AV322" s="50">
        <f>ROUND(AW322+AX322,2)</f>
        <v>0</v>
      </c>
      <c r="AW322" s="50">
        <f>ROUND(F322*AO322,2)</f>
        <v>0</v>
      </c>
      <c r="AX322" s="50">
        <f>ROUND(F322*AP322,2)</f>
        <v>0</v>
      </c>
      <c r="AY322" s="52" t="s">
        <v>620</v>
      </c>
      <c r="AZ322" s="52" t="s">
        <v>602</v>
      </c>
      <c r="BA322" s="32" t="s">
        <v>121</v>
      </c>
      <c r="BC322" s="50">
        <f>AW322+AX322</f>
        <v>0</v>
      </c>
      <c r="BD322" s="50">
        <f>G322/(100-BE322)*100</f>
        <v>0</v>
      </c>
      <c r="BE322" s="50">
        <v>0</v>
      </c>
      <c r="BF322" s="50">
        <f>322</f>
        <v>322</v>
      </c>
      <c r="BH322" s="50">
        <f>F322*AO322</f>
        <v>0</v>
      </c>
      <c r="BI322" s="50">
        <f>F322*AP322</f>
        <v>0</v>
      </c>
      <c r="BJ322" s="50">
        <f>F322*G322</f>
        <v>0</v>
      </c>
      <c r="BK322" s="52" t="s">
        <v>122</v>
      </c>
      <c r="BL322" s="50">
        <v>96</v>
      </c>
      <c r="BW322" s="50">
        <v>21</v>
      </c>
      <c r="BX322" s="3" t="s">
        <v>637</v>
      </c>
    </row>
    <row r="323" spans="1:76" ht="14.4" x14ac:dyDescent="0.3">
      <c r="A323" s="53"/>
      <c r="C323" s="54" t="s">
        <v>638</v>
      </c>
      <c r="D323" s="54" t="s">
        <v>4</v>
      </c>
      <c r="F323" s="55">
        <v>1.89</v>
      </c>
      <c r="K323" s="56"/>
    </row>
    <row r="324" spans="1:76" ht="14.4" x14ac:dyDescent="0.3">
      <c r="A324" s="1" t="s">
        <v>639</v>
      </c>
      <c r="B324" s="2" t="s">
        <v>640</v>
      </c>
      <c r="C324" s="75" t="s">
        <v>641</v>
      </c>
      <c r="D324" s="70"/>
      <c r="E324" s="2" t="s">
        <v>117</v>
      </c>
      <c r="F324" s="50">
        <v>19.785799999999998</v>
      </c>
      <c r="G324" s="50">
        <v>0</v>
      </c>
      <c r="H324" s="50">
        <f>ROUND(F324*AO324,2)</f>
        <v>0</v>
      </c>
      <c r="I324" s="50">
        <f>ROUND(F324*AP324,2)</f>
        <v>0</v>
      </c>
      <c r="J324" s="50">
        <f>ROUND(F324*G324,2)</f>
        <v>0</v>
      </c>
      <c r="K324" s="51" t="s">
        <v>118</v>
      </c>
      <c r="Z324" s="50">
        <f>ROUND(IF(AQ324="5",BJ324,0),2)</f>
        <v>0</v>
      </c>
      <c r="AB324" s="50">
        <f>ROUND(IF(AQ324="1",BH324,0),2)</f>
        <v>0</v>
      </c>
      <c r="AC324" s="50">
        <f>ROUND(IF(AQ324="1",BI324,0),2)</f>
        <v>0</v>
      </c>
      <c r="AD324" s="50">
        <f>ROUND(IF(AQ324="7",BH324,0),2)</f>
        <v>0</v>
      </c>
      <c r="AE324" s="50">
        <f>ROUND(IF(AQ324="7",BI324,0),2)</f>
        <v>0</v>
      </c>
      <c r="AF324" s="50">
        <f>ROUND(IF(AQ324="2",BH324,0),2)</f>
        <v>0</v>
      </c>
      <c r="AG324" s="50">
        <f>ROUND(IF(AQ324="2",BI324,0),2)</f>
        <v>0</v>
      </c>
      <c r="AH324" s="50">
        <f>ROUND(IF(AQ324="0",BJ324,0),2)</f>
        <v>0</v>
      </c>
      <c r="AI324" s="32" t="s">
        <v>4</v>
      </c>
      <c r="AJ324" s="50">
        <f>IF(AN324=0,J324,0)</f>
        <v>0</v>
      </c>
      <c r="AK324" s="50">
        <f>IF(AN324=12,J324,0)</f>
        <v>0</v>
      </c>
      <c r="AL324" s="50">
        <f>IF(AN324=21,J324,0)</f>
        <v>0</v>
      </c>
      <c r="AN324" s="50">
        <v>21</v>
      </c>
      <c r="AO324" s="50">
        <f>G324*0.035278974</f>
        <v>0</v>
      </c>
      <c r="AP324" s="50">
        <f>G324*(1-0.035278974)</f>
        <v>0</v>
      </c>
      <c r="AQ324" s="52" t="s">
        <v>114</v>
      </c>
      <c r="AV324" s="50">
        <f>ROUND(AW324+AX324,2)</f>
        <v>0</v>
      </c>
      <c r="AW324" s="50">
        <f>ROUND(F324*AO324,2)</f>
        <v>0</v>
      </c>
      <c r="AX324" s="50">
        <f>ROUND(F324*AP324,2)</f>
        <v>0</v>
      </c>
      <c r="AY324" s="52" t="s">
        <v>620</v>
      </c>
      <c r="AZ324" s="52" t="s">
        <v>602</v>
      </c>
      <c r="BA324" s="32" t="s">
        <v>121</v>
      </c>
      <c r="BC324" s="50">
        <f>AW324+AX324</f>
        <v>0</v>
      </c>
      <c r="BD324" s="50">
        <f>G324/(100-BE324)*100</f>
        <v>0</v>
      </c>
      <c r="BE324" s="50">
        <v>0</v>
      </c>
      <c r="BF324" s="50">
        <f>324</f>
        <v>324</v>
      </c>
      <c r="BH324" s="50">
        <f>F324*AO324</f>
        <v>0</v>
      </c>
      <c r="BI324" s="50">
        <f>F324*AP324</f>
        <v>0</v>
      </c>
      <c r="BJ324" s="50">
        <f>F324*G324</f>
        <v>0</v>
      </c>
      <c r="BK324" s="52" t="s">
        <v>122</v>
      </c>
      <c r="BL324" s="50">
        <v>96</v>
      </c>
      <c r="BW324" s="50">
        <v>21</v>
      </c>
      <c r="BX324" s="3" t="s">
        <v>641</v>
      </c>
    </row>
    <row r="325" spans="1:76" ht="14.4" x14ac:dyDescent="0.3">
      <c r="A325" s="53"/>
      <c r="C325" s="54" t="s">
        <v>642</v>
      </c>
      <c r="D325" s="54" t="s">
        <v>4</v>
      </c>
      <c r="F325" s="55">
        <v>5.04</v>
      </c>
      <c r="K325" s="56"/>
    </row>
    <row r="326" spans="1:76" ht="14.4" x14ac:dyDescent="0.3">
      <c r="A326" s="53"/>
      <c r="C326" s="54" t="s">
        <v>643</v>
      </c>
      <c r="D326" s="54" t="s">
        <v>4</v>
      </c>
      <c r="F326" s="55">
        <v>9.0419999999999998</v>
      </c>
      <c r="K326" s="56"/>
    </row>
    <row r="327" spans="1:76" ht="14.4" x14ac:dyDescent="0.3">
      <c r="A327" s="53"/>
      <c r="C327" s="54" t="s">
        <v>644</v>
      </c>
      <c r="D327" s="54" t="s">
        <v>4</v>
      </c>
      <c r="F327" s="55">
        <v>2.9148000000000001</v>
      </c>
      <c r="K327" s="56"/>
    </row>
    <row r="328" spans="1:76" ht="14.4" x14ac:dyDescent="0.3">
      <c r="A328" s="53"/>
      <c r="C328" s="54" t="s">
        <v>645</v>
      </c>
      <c r="D328" s="54" t="s">
        <v>4</v>
      </c>
      <c r="F328" s="55">
        <v>6.726</v>
      </c>
      <c r="K328" s="56"/>
    </row>
    <row r="329" spans="1:76" ht="14.4" x14ac:dyDescent="0.3">
      <c r="A329" s="53"/>
      <c r="C329" s="54" t="s">
        <v>646</v>
      </c>
      <c r="D329" s="54" t="s">
        <v>4</v>
      </c>
      <c r="F329" s="55">
        <v>-3.12</v>
      </c>
      <c r="K329" s="56"/>
    </row>
    <row r="330" spans="1:76" ht="14.4" x14ac:dyDescent="0.3">
      <c r="A330" s="53"/>
      <c r="C330" s="54" t="s">
        <v>647</v>
      </c>
      <c r="D330" s="54" t="s">
        <v>4</v>
      </c>
      <c r="F330" s="55">
        <v>-0.25</v>
      </c>
      <c r="K330" s="56"/>
    </row>
    <row r="331" spans="1:76" ht="14.4" x14ac:dyDescent="0.3">
      <c r="A331" s="53"/>
      <c r="C331" s="54" t="s">
        <v>648</v>
      </c>
      <c r="D331" s="54" t="s">
        <v>4</v>
      </c>
      <c r="F331" s="55">
        <v>-0.56699999999999995</v>
      </c>
      <c r="K331" s="56"/>
    </row>
    <row r="332" spans="1:76" ht="14.4" x14ac:dyDescent="0.3">
      <c r="A332" s="1" t="s">
        <v>649</v>
      </c>
      <c r="B332" s="2" t="s">
        <v>650</v>
      </c>
      <c r="C332" s="75" t="s">
        <v>651</v>
      </c>
      <c r="D332" s="70"/>
      <c r="E332" s="2" t="s">
        <v>117</v>
      </c>
      <c r="F332" s="50">
        <v>11.84</v>
      </c>
      <c r="G332" s="50">
        <v>0</v>
      </c>
      <c r="H332" s="50">
        <f>ROUND(F332*AO332,2)</f>
        <v>0</v>
      </c>
      <c r="I332" s="50">
        <f>ROUND(F332*AP332,2)</f>
        <v>0</v>
      </c>
      <c r="J332" s="50">
        <f>ROUND(F332*G332,2)</f>
        <v>0</v>
      </c>
      <c r="K332" s="51" t="s">
        <v>118</v>
      </c>
      <c r="Z332" s="50">
        <f>ROUND(IF(AQ332="5",BJ332,0),2)</f>
        <v>0</v>
      </c>
      <c r="AB332" s="50">
        <f>ROUND(IF(AQ332="1",BH332,0),2)</f>
        <v>0</v>
      </c>
      <c r="AC332" s="50">
        <f>ROUND(IF(AQ332="1",BI332,0),2)</f>
        <v>0</v>
      </c>
      <c r="AD332" s="50">
        <f>ROUND(IF(AQ332="7",BH332,0),2)</f>
        <v>0</v>
      </c>
      <c r="AE332" s="50">
        <f>ROUND(IF(AQ332="7",BI332,0),2)</f>
        <v>0</v>
      </c>
      <c r="AF332" s="50">
        <f>ROUND(IF(AQ332="2",BH332,0),2)</f>
        <v>0</v>
      </c>
      <c r="AG332" s="50">
        <f>ROUND(IF(AQ332="2",BI332,0),2)</f>
        <v>0</v>
      </c>
      <c r="AH332" s="50">
        <f>ROUND(IF(AQ332="0",BJ332,0),2)</f>
        <v>0</v>
      </c>
      <c r="AI332" s="32" t="s">
        <v>4</v>
      </c>
      <c r="AJ332" s="50">
        <f>IF(AN332=0,J332,0)</f>
        <v>0</v>
      </c>
      <c r="AK332" s="50">
        <f>IF(AN332=12,J332,0)</f>
        <v>0</v>
      </c>
      <c r="AL332" s="50">
        <f>IF(AN332=21,J332,0)</f>
        <v>0</v>
      </c>
      <c r="AN332" s="50">
        <v>21</v>
      </c>
      <c r="AO332" s="50">
        <f>G332*0</f>
        <v>0</v>
      </c>
      <c r="AP332" s="50">
        <f>G332*(1-0)</f>
        <v>0</v>
      </c>
      <c r="AQ332" s="52" t="s">
        <v>114</v>
      </c>
      <c r="AV332" s="50">
        <f>ROUND(AW332+AX332,2)</f>
        <v>0</v>
      </c>
      <c r="AW332" s="50">
        <f>ROUND(F332*AO332,2)</f>
        <v>0</v>
      </c>
      <c r="AX332" s="50">
        <f>ROUND(F332*AP332,2)</f>
        <v>0</v>
      </c>
      <c r="AY332" s="52" t="s">
        <v>620</v>
      </c>
      <c r="AZ332" s="52" t="s">
        <v>602</v>
      </c>
      <c r="BA332" s="32" t="s">
        <v>121</v>
      </c>
      <c r="BC332" s="50">
        <f>AW332+AX332</f>
        <v>0</v>
      </c>
      <c r="BD332" s="50">
        <f>G332/(100-BE332)*100</f>
        <v>0</v>
      </c>
      <c r="BE332" s="50">
        <v>0</v>
      </c>
      <c r="BF332" s="50">
        <f>332</f>
        <v>332</v>
      </c>
      <c r="BH332" s="50">
        <f>F332*AO332</f>
        <v>0</v>
      </c>
      <c r="BI332" s="50">
        <f>F332*AP332</f>
        <v>0</v>
      </c>
      <c r="BJ332" s="50">
        <f>F332*G332</f>
        <v>0</v>
      </c>
      <c r="BK332" s="52" t="s">
        <v>122</v>
      </c>
      <c r="BL332" s="50">
        <v>96</v>
      </c>
      <c r="BW332" s="50">
        <v>21</v>
      </c>
      <c r="BX332" s="3" t="s">
        <v>651</v>
      </c>
    </row>
    <row r="333" spans="1:76" ht="13.5" customHeight="1" x14ac:dyDescent="0.3">
      <c r="A333" s="53"/>
      <c r="B333" s="57" t="s">
        <v>157</v>
      </c>
      <c r="C333" s="150" t="s">
        <v>652</v>
      </c>
      <c r="D333" s="151"/>
      <c r="E333" s="151"/>
      <c r="F333" s="151"/>
      <c r="G333" s="151"/>
      <c r="H333" s="151"/>
      <c r="I333" s="151"/>
      <c r="J333" s="151"/>
      <c r="K333" s="152"/>
    </row>
    <row r="334" spans="1:76" ht="14.4" x14ac:dyDescent="0.3">
      <c r="A334" s="53"/>
      <c r="C334" s="54" t="s">
        <v>653</v>
      </c>
      <c r="D334" s="54" t="s">
        <v>4</v>
      </c>
      <c r="F334" s="55">
        <v>11.84</v>
      </c>
      <c r="K334" s="56"/>
    </row>
    <row r="335" spans="1:76" ht="14.4" x14ac:dyDescent="0.3">
      <c r="A335" s="1" t="s">
        <v>654</v>
      </c>
      <c r="B335" s="2" t="s">
        <v>655</v>
      </c>
      <c r="C335" s="75" t="s">
        <v>656</v>
      </c>
      <c r="D335" s="70"/>
      <c r="E335" s="2" t="s">
        <v>117</v>
      </c>
      <c r="F335" s="50">
        <v>10.173</v>
      </c>
      <c r="G335" s="50">
        <v>0</v>
      </c>
      <c r="H335" s="50">
        <f>ROUND(F335*AO335,2)</f>
        <v>0</v>
      </c>
      <c r="I335" s="50">
        <f>ROUND(F335*AP335,2)</f>
        <v>0</v>
      </c>
      <c r="J335" s="50">
        <f>ROUND(F335*G335,2)</f>
        <v>0</v>
      </c>
      <c r="K335" s="51" t="s">
        <v>118</v>
      </c>
      <c r="Z335" s="50">
        <f>ROUND(IF(AQ335="5",BJ335,0),2)</f>
        <v>0</v>
      </c>
      <c r="AB335" s="50">
        <f>ROUND(IF(AQ335="1",BH335,0),2)</f>
        <v>0</v>
      </c>
      <c r="AC335" s="50">
        <f>ROUND(IF(AQ335="1",BI335,0),2)</f>
        <v>0</v>
      </c>
      <c r="AD335" s="50">
        <f>ROUND(IF(AQ335="7",BH335,0),2)</f>
        <v>0</v>
      </c>
      <c r="AE335" s="50">
        <f>ROUND(IF(AQ335="7",BI335,0),2)</f>
        <v>0</v>
      </c>
      <c r="AF335" s="50">
        <f>ROUND(IF(AQ335="2",BH335,0),2)</f>
        <v>0</v>
      </c>
      <c r="AG335" s="50">
        <f>ROUND(IF(AQ335="2",BI335,0),2)</f>
        <v>0</v>
      </c>
      <c r="AH335" s="50">
        <f>ROUND(IF(AQ335="0",BJ335,0),2)</f>
        <v>0</v>
      </c>
      <c r="AI335" s="32" t="s">
        <v>4</v>
      </c>
      <c r="AJ335" s="50">
        <f>IF(AN335=0,J335,0)</f>
        <v>0</v>
      </c>
      <c r="AK335" s="50">
        <f>IF(AN335=12,J335,0)</f>
        <v>0</v>
      </c>
      <c r="AL335" s="50">
        <f>IF(AN335=21,J335,0)</f>
        <v>0</v>
      </c>
      <c r="AN335" s="50">
        <v>21</v>
      </c>
      <c r="AO335" s="50">
        <f>G335*0</f>
        <v>0</v>
      </c>
      <c r="AP335" s="50">
        <f>G335*(1-0)</f>
        <v>0</v>
      </c>
      <c r="AQ335" s="52" t="s">
        <v>114</v>
      </c>
      <c r="AV335" s="50">
        <f>ROUND(AW335+AX335,2)</f>
        <v>0</v>
      </c>
      <c r="AW335" s="50">
        <f>ROUND(F335*AO335,2)</f>
        <v>0</v>
      </c>
      <c r="AX335" s="50">
        <f>ROUND(F335*AP335,2)</f>
        <v>0</v>
      </c>
      <c r="AY335" s="52" t="s">
        <v>620</v>
      </c>
      <c r="AZ335" s="52" t="s">
        <v>602</v>
      </c>
      <c r="BA335" s="32" t="s">
        <v>121</v>
      </c>
      <c r="BC335" s="50">
        <f>AW335+AX335</f>
        <v>0</v>
      </c>
      <c r="BD335" s="50">
        <f>G335/(100-BE335)*100</f>
        <v>0</v>
      </c>
      <c r="BE335" s="50">
        <v>0</v>
      </c>
      <c r="BF335" s="50">
        <f>335</f>
        <v>335</v>
      </c>
      <c r="BH335" s="50">
        <f>F335*AO335</f>
        <v>0</v>
      </c>
      <c r="BI335" s="50">
        <f>F335*AP335</f>
        <v>0</v>
      </c>
      <c r="BJ335" s="50">
        <f>F335*G335</f>
        <v>0</v>
      </c>
      <c r="BK335" s="52" t="s">
        <v>122</v>
      </c>
      <c r="BL335" s="50">
        <v>96</v>
      </c>
      <c r="BW335" s="50">
        <v>21</v>
      </c>
      <c r="BX335" s="3" t="s">
        <v>656</v>
      </c>
    </row>
    <row r="336" spans="1:76" ht="14.4" x14ac:dyDescent="0.3">
      <c r="A336" s="53"/>
      <c r="C336" s="54" t="s">
        <v>657</v>
      </c>
      <c r="D336" s="54" t="s">
        <v>4</v>
      </c>
      <c r="F336" s="55">
        <v>10.173</v>
      </c>
      <c r="K336" s="56"/>
    </row>
    <row r="337" spans="1:76" ht="14.4" x14ac:dyDescent="0.3">
      <c r="A337" s="46" t="s">
        <v>4</v>
      </c>
      <c r="B337" s="47" t="s">
        <v>577</v>
      </c>
      <c r="C337" s="148" t="s">
        <v>658</v>
      </c>
      <c r="D337" s="149"/>
      <c r="E337" s="48" t="s">
        <v>79</v>
      </c>
      <c r="F337" s="48" t="s">
        <v>79</v>
      </c>
      <c r="G337" s="48" t="s">
        <v>79</v>
      </c>
      <c r="H337" s="26">
        <f>ROUND(SUM(H338:H338),2)</f>
        <v>0</v>
      </c>
      <c r="I337" s="26">
        <f>ROUND(SUM(I338:I338),2)</f>
        <v>0</v>
      </c>
      <c r="J337" s="26">
        <f>ROUND(SUM(J338:J338),2)</f>
        <v>0</v>
      </c>
      <c r="K337" s="49" t="s">
        <v>4</v>
      </c>
      <c r="AI337" s="32" t="s">
        <v>4</v>
      </c>
      <c r="AS337" s="26">
        <f>SUM(AJ338:AJ338)</f>
        <v>0</v>
      </c>
      <c r="AT337" s="26">
        <f>SUM(AK338:AK338)</f>
        <v>0</v>
      </c>
      <c r="AU337" s="26">
        <f>SUM(AL338:AL338)</f>
        <v>0</v>
      </c>
    </row>
    <row r="338" spans="1:76" ht="14.4" x14ac:dyDescent="0.3">
      <c r="A338" s="1" t="s">
        <v>659</v>
      </c>
      <c r="B338" s="2" t="s">
        <v>660</v>
      </c>
      <c r="C338" s="75" t="s">
        <v>661</v>
      </c>
      <c r="D338" s="70"/>
      <c r="E338" s="2" t="s">
        <v>257</v>
      </c>
      <c r="F338" s="50">
        <v>0.6</v>
      </c>
      <c r="G338" s="50">
        <v>0</v>
      </c>
      <c r="H338" s="50">
        <f>ROUND(F338*AO338,2)</f>
        <v>0</v>
      </c>
      <c r="I338" s="50">
        <f>ROUND(F338*AP338,2)</f>
        <v>0</v>
      </c>
      <c r="J338" s="50">
        <f>ROUND(F338*G338,2)</f>
        <v>0</v>
      </c>
      <c r="K338" s="51" t="s">
        <v>118</v>
      </c>
      <c r="Z338" s="50">
        <f>ROUND(IF(AQ338="5",BJ338,0),2)</f>
        <v>0</v>
      </c>
      <c r="AB338" s="50">
        <f>ROUND(IF(AQ338="1",BH338,0),2)</f>
        <v>0</v>
      </c>
      <c r="AC338" s="50">
        <f>ROUND(IF(AQ338="1",BI338,0),2)</f>
        <v>0</v>
      </c>
      <c r="AD338" s="50">
        <f>ROUND(IF(AQ338="7",BH338,0),2)</f>
        <v>0</v>
      </c>
      <c r="AE338" s="50">
        <f>ROUND(IF(AQ338="7",BI338,0),2)</f>
        <v>0</v>
      </c>
      <c r="AF338" s="50">
        <f>ROUND(IF(AQ338="2",BH338,0),2)</f>
        <v>0</v>
      </c>
      <c r="AG338" s="50">
        <f>ROUND(IF(AQ338="2",BI338,0),2)</f>
        <v>0</v>
      </c>
      <c r="AH338" s="50">
        <f>ROUND(IF(AQ338="0",BJ338,0),2)</f>
        <v>0</v>
      </c>
      <c r="AI338" s="32" t="s">
        <v>4</v>
      </c>
      <c r="AJ338" s="50">
        <f>IF(AN338=0,J338,0)</f>
        <v>0</v>
      </c>
      <c r="AK338" s="50">
        <f>IF(AN338=12,J338,0)</f>
        <v>0</v>
      </c>
      <c r="AL338" s="50">
        <f>IF(AN338=21,J338,0)</f>
        <v>0</v>
      </c>
      <c r="AN338" s="50">
        <v>21</v>
      </c>
      <c r="AO338" s="50">
        <f>G338*0.310867347</f>
        <v>0</v>
      </c>
      <c r="AP338" s="50">
        <f>G338*(1-0.310867347)</f>
        <v>0</v>
      </c>
      <c r="AQ338" s="52" t="s">
        <v>114</v>
      </c>
      <c r="AV338" s="50">
        <f>ROUND(AW338+AX338,2)</f>
        <v>0</v>
      </c>
      <c r="AW338" s="50">
        <f>ROUND(F338*AO338,2)</f>
        <v>0</v>
      </c>
      <c r="AX338" s="50">
        <f>ROUND(F338*AP338,2)</f>
        <v>0</v>
      </c>
      <c r="AY338" s="52" t="s">
        <v>662</v>
      </c>
      <c r="AZ338" s="52" t="s">
        <v>602</v>
      </c>
      <c r="BA338" s="32" t="s">
        <v>121</v>
      </c>
      <c r="BC338" s="50">
        <f>AW338+AX338</f>
        <v>0</v>
      </c>
      <c r="BD338" s="50">
        <f>G338/(100-BE338)*100</f>
        <v>0</v>
      </c>
      <c r="BE338" s="50">
        <v>0</v>
      </c>
      <c r="BF338" s="50">
        <f>338</f>
        <v>338</v>
      </c>
      <c r="BH338" s="50">
        <f>F338*AO338</f>
        <v>0</v>
      </c>
      <c r="BI338" s="50">
        <f>F338*AP338</f>
        <v>0</v>
      </c>
      <c r="BJ338" s="50">
        <f>F338*G338</f>
        <v>0</v>
      </c>
      <c r="BK338" s="52" t="s">
        <v>122</v>
      </c>
      <c r="BL338" s="50">
        <v>97</v>
      </c>
      <c r="BW338" s="50">
        <v>21</v>
      </c>
      <c r="BX338" s="3" t="s">
        <v>661</v>
      </c>
    </row>
    <row r="339" spans="1:76" ht="14.4" x14ac:dyDescent="0.3">
      <c r="A339" s="53"/>
      <c r="C339" s="54" t="s">
        <v>663</v>
      </c>
      <c r="D339" s="54" t="s">
        <v>4</v>
      </c>
      <c r="F339" s="55">
        <v>0.6</v>
      </c>
      <c r="K339" s="56"/>
    </row>
    <row r="340" spans="1:76" ht="14.4" x14ac:dyDescent="0.3">
      <c r="A340" s="46" t="s">
        <v>4</v>
      </c>
      <c r="B340" s="47" t="s">
        <v>664</v>
      </c>
      <c r="C340" s="148" t="s">
        <v>665</v>
      </c>
      <c r="D340" s="149"/>
      <c r="E340" s="48" t="s">
        <v>79</v>
      </c>
      <c r="F340" s="48" t="s">
        <v>79</v>
      </c>
      <c r="G340" s="48" t="s">
        <v>79</v>
      </c>
      <c r="H340" s="26">
        <f>ROUND(SUM(H341:H341),2)</f>
        <v>0</v>
      </c>
      <c r="I340" s="26">
        <f>ROUND(SUM(I341:I341),2)</f>
        <v>0</v>
      </c>
      <c r="J340" s="26">
        <f>ROUND(SUM(J341:J341),2)</f>
        <v>0</v>
      </c>
      <c r="K340" s="49" t="s">
        <v>4</v>
      </c>
      <c r="AI340" s="32" t="s">
        <v>4</v>
      </c>
      <c r="AS340" s="26">
        <f>SUM(AJ341:AJ341)</f>
        <v>0</v>
      </c>
      <c r="AT340" s="26">
        <f>SUM(AK341:AK341)</f>
        <v>0</v>
      </c>
      <c r="AU340" s="26">
        <f>SUM(AL341:AL341)</f>
        <v>0</v>
      </c>
    </row>
    <row r="341" spans="1:76" ht="14.4" x14ac:dyDescent="0.3">
      <c r="A341" s="1" t="s">
        <v>666</v>
      </c>
      <c r="B341" s="2" t="s">
        <v>667</v>
      </c>
      <c r="C341" s="75" t="s">
        <v>668</v>
      </c>
      <c r="D341" s="70"/>
      <c r="E341" s="2" t="s">
        <v>219</v>
      </c>
      <c r="F341" s="50">
        <v>60.029000000000003</v>
      </c>
      <c r="G341" s="50">
        <v>0</v>
      </c>
      <c r="H341" s="50">
        <f>ROUND(F341*AO341,2)</f>
        <v>0</v>
      </c>
      <c r="I341" s="50">
        <f>ROUND(F341*AP341,2)</f>
        <v>0</v>
      </c>
      <c r="J341" s="50">
        <f>ROUND(F341*G341,2)</f>
        <v>0</v>
      </c>
      <c r="K341" s="51" t="s">
        <v>118</v>
      </c>
      <c r="Z341" s="50">
        <f>ROUND(IF(AQ341="5",BJ341,0),2)</f>
        <v>0</v>
      </c>
      <c r="AB341" s="50">
        <f>ROUND(IF(AQ341="1",BH341,0),2)</f>
        <v>0</v>
      </c>
      <c r="AC341" s="50">
        <f>ROUND(IF(AQ341="1",BI341,0),2)</f>
        <v>0</v>
      </c>
      <c r="AD341" s="50">
        <f>ROUND(IF(AQ341="7",BH341,0),2)</f>
        <v>0</v>
      </c>
      <c r="AE341" s="50">
        <f>ROUND(IF(AQ341="7",BI341,0),2)</f>
        <v>0</v>
      </c>
      <c r="AF341" s="50">
        <f>ROUND(IF(AQ341="2",BH341,0),2)</f>
        <v>0</v>
      </c>
      <c r="AG341" s="50">
        <f>ROUND(IF(AQ341="2",BI341,0),2)</f>
        <v>0</v>
      </c>
      <c r="AH341" s="50">
        <f>ROUND(IF(AQ341="0",BJ341,0),2)</f>
        <v>0</v>
      </c>
      <c r="AI341" s="32" t="s">
        <v>4</v>
      </c>
      <c r="AJ341" s="50">
        <f>IF(AN341=0,J341,0)</f>
        <v>0</v>
      </c>
      <c r="AK341" s="50">
        <f>IF(AN341=12,J341,0)</f>
        <v>0</v>
      </c>
      <c r="AL341" s="50">
        <f>IF(AN341=21,J341,0)</f>
        <v>0</v>
      </c>
      <c r="AN341" s="50">
        <v>21</v>
      </c>
      <c r="AO341" s="50">
        <f>G341*0</f>
        <v>0</v>
      </c>
      <c r="AP341" s="50">
        <f>G341*(1-0)</f>
        <v>0</v>
      </c>
      <c r="AQ341" s="52" t="s">
        <v>139</v>
      </c>
      <c r="AV341" s="50">
        <f>ROUND(AW341+AX341,2)</f>
        <v>0</v>
      </c>
      <c r="AW341" s="50">
        <f>ROUND(F341*AO341,2)</f>
        <v>0</v>
      </c>
      <c r="AX341" s="50">
        <f>ROUND(F341*AP341,2)</f>
        <v>0</v>
      </c>
      <c r="AY341" s="52" t="s">
        <v>669</v>
      </c>
      <c r="AZ341" s="52" t="s">
        <v>602</v>
      </c>
      <c r="BA341" s="32" t="s">
        <v>121</v>
      </c>
      <c r="BC341" s="50">
        <f>AW341+AX341</f>
        <v>0</v>
      </c>
      <c r="BD341" s="50">
        <f>G341/(100-BE341)*100</f>
        <v>0</v>
      </c>
      <c r="BE341" s="50">
        <v>0</v>
      </c>
      <c r="BF341" s="50">
        <f>341</f>
        <v>341</v>
      </c>
      <c r="BH341" s="50">
        <f>F341*AO341</f>
        <v>0</v>
      </c>
      <c r="BI341" s="50">
        <f>F341*AP341</f>
        <v>0</v>
      </c>
      <c r="BJ341" s="50">
        <f>F341*G341</f>
        <v>0</v>
      </c>
      <c r="BK341" s="52" t="s">
        <v>122</v>
      </c>
      <c r="BL341" s="50"/>
      <c r="BW341" s="50">
        <v>21</v>
      </c>
      <c r="BX341" s="3" t="s">
        <v>668</v>
      </c>
    </row>
    <row r="342" spans="1:76" ht="14.4" x14ac:dyDescent="0.3">
      <c r="A342" s="53"/>
      <c r="C342" s="54" t="s">
        <v>670</v>
      </c>
      <c r="D342" s="54" t="s">
        <v>4</v>
      </c>
      <c r="F342" s="55">
        <v>60.029000000000003</v>
      </c>
      <c r="K342" s="56"/>
    </row>
    <row r="343" spans="1:76" ht="14.4" x14ac:dyDescent="0.3">
      <c r="A343" s="46" t="s">
        <v>4</v>
      </c>
      <c r="B343" s="47" t="s">
        <v>671</v>
      </c>
      <c r="C343" s="148" t="s">
        <v>672</v>
      </c>
      <c r="D343" s="149"/>
      <c r="E343" s="48" t="s">
        <v>79</v>
      </c>
      <c r="F343" s="48" t="s">
        <v>79</v>
      </c>
      <c r="G343" s="48" t="s">
        <v>79</v>
      </c>
      <c r="H343" s="26">
        <f>ROUND(SUM(H344:H344),2)</f>
        <v>0</v>
      </c>
      <c r="I343" s="26">
        <f>ROUND(SUM(I344:I344),2)</f>
        <v>0</v>
      </c>
      <c r="J343" s="26">
        <f>ROUND(SUM(J344:J344),2)</f>
        <v>0</v>
      </c>
      <c r="K343" s="49" t="s">
        <v>4</v>
      </c>
      <c r="AI343" s="32" t="s">
        <v>4</v>
      </c>
      <c r="AS343" s="26">
        <f>SUM(AJ344:AJ344)</f>
        <v>0</v>
      </c>
      <c r="AT343" s="26">
        <f>SUM(AK344:AK344)</f>
        <v>0</v>
      </c>
      <c r="AU343" s="26">
        <f>SUM(AL344:AL344)</f>
        <v>0</v>
      </c>
    </row>
    <row r="344" spans="1:76" ht="14.4" x14ac:dyDescent="0.3">
      <c r="A344" s="1" t="s">
        <v>673</v>
      </c>
      <c r="B344" s="2" t="s">
        <v>674</v>
      </c>
      <c r="C344" s="75" t="s">
        <v>675</v>
      </c>
      <c r="D344" s="70"/>
      <c r="E344" s="2" t="s">
        <v>219</v>
      </c>
      <c r="F344" s="50">
        <v>3.03</v>
      </c>
      <c r="G344" s="50">
        <v>0</v>
      </c>
      <c r="H344" s="50">
        <f>ROUND(F344*AO344,2)</f>
        <v>0</v>
      </c>
      <c r="I344" s="50">
        <f>ROUND(F344*AP344,2)</f>
        <v>0</v>
      </c>
      <c r="J344" s="50">
        <f>ROUND(F344*G344,2)</f>
        <v>0</v>
      </c>
      <c r="K344" s="51" t="s">
        <v>118</v>
      </c>
      <c r="Z344" s="50">
        <f>ROUND(IF(AQ344="5",BJ344,0),2)</f>
        <v>0</v>
      </c>
      <c r="AB344" s="50">
        <f>ROUND(IF(AQ344="1",BH344,0),2)</f>
        <v>0</v>
      </c>
      <c r="AC344" s="50">
        <f>ROUND(IF(AQ344="1",BI344,0),2)</f>
        <v>0</v>
      </c>
      <c r="AD344" s="50">
        <f>ROUND(IF(AQ344="7",BH344,0),2)</f>
        <v>0</v>
      </c>
      <c r="AE344" s="50">
        <f>ROUND(IF(AQ344="7",BI344,0),2)</f>
        <v>0</v>
      </c>
      <c r="AF344" s="50">
        <f>ROUND(IF(AQ344="2",BH344,0),2)</f>
        <v>0</v>
      </c>
      <c r="AG344" s="50">
        <f>ROUND(IF(AQ344="2",BI344,0),2)</f>
        <v>0</v>
      </c>
      <c r="AH344" s="50">
        <f>ROUND(IF(AQ344="0",BJ344,0),2)</f>
        <v>0</v>
      </c>
      <c r="AI344" s="32" t="s">
        <v>4</v>
      </c>
      <c r="AJ344" s="50">
        <f>IF(AN344=0,J344,0)</f>
        <v>0</v>
      </c>
      <c r="AK344" s="50">
        <f>IF(AN344=12,J344,0)</f>
        <v>0</v>
      </c>
      <c r="AL344" s="50">
        <f>IF(AN344=21,J344,0)</f>
        <v>0</v>
      </c>
      <c r="AN344" s="50">
        <v>21</v>
      </c>
      <c r="AO344" s="50">
        <f>G344*0</f>
        <v>0</v>
      </c>
      <c r="AP344" s="50">
        <f>G344*(1-0)</f>
        <v>0</v>
      </c>
      <c r="AQ344" s="52" t="s">
        <v>139</v>
      </c>
      <c r="AV344" s="50">
        <f>ROUND(AW344+AX344,2)</f>
        <v>0</v>
      </c>
      <c r="AW344" s="50">
        <f>ROUND(F344*AO344,2)</f>
        <v>0</v>
      </c>
      <c r="AX344" s="50">
        <f>ROUND(F344*AP344,2)</f>
        <v>0</v>
      </c>
      <c r="AY344" s="52" t="s">
        <v>676</v>
      </c>
      <c r="AZ344" s="52" t="s">
        <v>602</v>
      </c>
      <c r="BA344" s="32" t="s">
        <v>121</v>
      </c>
      <c r="BC344" s="50">
        <f>AW344+AX344</f>
        <v>0</v>
      </c>
      <c r="BD344" s="50">
        <f>G344/(100-BE344)*100</f>
        <v>0</v>
      </c>
      <c r="BE344" s="50">
        <v>0</v>
      </c>
      <c r="BF344" s="50">
        <f>344</f>
        <v>344</v>
      </c>
      <c r="BH344" s="50">
        <f>F344*AO344</f>
        <v>0</v>
      </c>
      <c r="BI344" s="50">
        <f>F344*AP344</f>
        <v>0</v>
      </c>
      <c r="BJ344" s="50">
        <f>F344*G344</f>
        <v>0</v>
      </c>
      <c r="BK344" s="52" t="s">
        <v>122</v>
      </c>
      <c r="BL344" s="50"/>
      <c r="BW344" s="50">
        <v>21</v>
      </c>
      <c r="BX344" s="3" t="s">
        <v>675</v>
      </c>
    </row>
    <row r="345" spans="1:76" ht="14.4" x14ac:dyDescent="0.3">
      <c r="A345" s="53"/>
      <c r="C345" s="54" t="s">
        <v>677</v>
      </c>
      <c r="D345" s="54" t="s">
        <v>4</v>
      </c>
      <c r="F345" s="55">
        <v>3.03</v>
      </c>
      <c r="K345" s="56"/>
    </row>
    <row r="346" spans="1:76" ht="14.4" x14ac:dyDescent="0.3">
      <c r="A346" s="46" t="s">
        <v>4</v>
      </c>
      <c r="B346" s="47" t="s">
        <v>678</v>
      </c>
      <c r="C346" s="148" t="s">
        <v>679</v>
      </c>
      <c r="D346" s="149"/>
      <c r="E346" s="48" t="s">
        <v>79</v>
      </c>
      <c r="F346" s="48" t="s">
        <v>79</v>
      </c>
      <c r="G346" s="48" t="s">
        <v>79</v>
      </c>
      <c r="H346" s="26">
        <f>ROUND(SUM(H347:H349),2)</f>
        <v>0</v>
      </c>
      <c r="I346" s="26">
        <f>ROUND(SUM(I347:I349),2)</f>
        <v>0</v>
      </c>
      <c r="J346" s="26">
        <f>ROUND(SUM(J347:J349),2)</f>
        <v>0</v>
      </c>
      <c r="K346" s="49" t="s">
        <v>4</v>
      </c>
      <c r="AI346" s="32" t="s">
        <v>4</v>
      </c>
      <c r="AS346" s="26">
        <f>SUM(AJ347:AJ349)</f>
        <v>0</v>
      </c>
      <c r="AT346" s="26">
        <f>SUM(AK347:AK349)</f>
        <v>0</v>
      </c>
      <c r="AU346" s="26">
        <f>SUM(AL347:AL349)</f>
        <v>0</v>
      </c>
    </row>
    <row r="347" spans="1:76" ht="14.4" x14ac:dyDescent="0.3">
      <c r="A347" s="1" t="s">
        <v>680</v>
      </c>
      <c r="B347" s="2" t="s">
        <v>681</v>
      </c>
      <c r="C347" s="75" t="s">
        <v>682</v>
      </c>
      <c r="D347" s="70"/>
      <c r="E347" s="2" t="s">
        <v>683</v>
      </c>
      <c r="F347" s="50">
        <v>1</v>
      </c>
      <c r="G347" s="50">
        <v>0</v>
      </c>
      <c r="H347" s="50">
        <f>ROUND(F347*AO347,2)</f>
        <v>0</v>
      </c>
      <c r="I347" s="50">
        <f>ROUND(F347*AP347,2)</f>
        <v>0</v>
      </c>
      <c r="J347" s="50">
        <f>ROUND(F347*G347,2)</f>
        <v>0</v>
      </c>
      <c r="K347" s="51" t="s">
        <v>4</v>
      </c>
      <c r="Z347" s="50">
        <f>ROUND(IF(AQ347="5",BJ347,0),2)</f>
        <v>0</v>
      </c>
      <c r="AB347" s="50">
        <f>ROUND(IF(AQ347="1",BH347,0),2)</f>
        <v>0</v>
      </c>
      <c r="AC347" s="50">
        <f>ROUND(IF(AQ347="1",BI347,0),2)</f>
        <v>0</v>
      </c>
      <c r="AD347" s="50">
        <f>ROUND(IF(AQ347="7",BH347,0),2)</f>
        <v>0</v>
      </c>
      <c r="AE347" s="50">
        <f>ROUND(IF(AQ347="7",BI347,0),2)</f>
        <v>0</v>
      </c>
      <c r="AF347" s="50">
        <f>ROUND(IF(AQ347="2",BH347,0),2)</f>
        <v>0</v>
      </c>
      <c r="AG347" s="50">
        <f>ROUND(IF(AQ347="2",BI347,0),2)</f>
        <v>0</v>
      </c>
      <c r="AH347" s="50">
        <f>ROUND(IF(AQ347="0",BJ347,0),2)</f>
        <v>0</v>
      </c>
      <c r="AI347" s="32" t="s">
        <v>4</v>
      </c>
      <c r="AJ347" s="50">
        <f>IF(AN347=0,J347,0)</f>
        <v>0</v>
      </c>
      <c r="AK347" s="50">
        <f>IF(AN347=12,J347,0)</f>
        <v>0</v>
      </c>
      <c r="AL347" s="50">
        <f>IF(AN347=21,J347,0)</f>
        <v>0</v>
      </c>
      <c r="AN347" s="50">
        <v>21</v>
      </c>
      <c r="AO347" s="50">
        <f>G347*0</f>
        <v>0</v>
      </c>
      <c r="AP347" s="50">
        <f>G347*(1-0)</f>
        <v>0</v>
      </c>
      <c r="AQ347" s="52" t="s">
        <v>126</v>
      </c>
      <c r="AV347" s="50">
        <f>ROUND(AW347+AX347,2)</f>
        <v>0</v>
      </c>
      <c r="AW347" s="50">
        <f>ROUND(F347*AO347,2)</f>
        <v>0</v>
      </c>
      <c r="AX347" s="50">
        <f>ROUND(F347*AP347,2)</f>
        <v>0</v>
      </c>
      <c r="AY347" s="52" t="s">
        <v>684</v>
      </c>
      <c r="AZ347" s="52" t="s">
        <v>602</v>
      </c>
      <c r="BA347" s="32" t="s">
        <v>121</v>
      </c>
      <c r="BC347" s="50">
        <f>AW347+AX347</f>
        <v>0</v>
      </c>
      <c r="BD347" s="50">
        <f>G347/(100-BE347)*100</f>
        <v>0</v>
      </c>
      <c r="BE347" s="50">
        <v>0</v>
      </c>
      <c r="BF347" s="50">
        <f>347</f>
        <v>347</v>
      </c>
      <c r="BH347" s="50">
        <f>F347*AO347</f>
        <v>0</v>
      </c>
      <c r="BI347" s="50">
        <f>F347*AP347</f>
        <v>0</v>
      </c>
      <c r="BJ347" s="50">
        <f>F347*G347</f>
        <v>0</v>
      </c>
      <c r="BK347" s="52" t="s">
        <v>122</v>
      </c>
      <c r="BL347" s="50"/>
      <c r="BW347" s="50">
        <v>21</v>
      </c>
      <c r="BX347" s="3" t="s">
        <v>682</v>
      </c>
    </row>
    <row r="348" spans="1:76" ht="14.4" x14ac:dyDescent="0.3">
      <c r="A348" s="53"/>
      <c r="C348" s="54" t="s">
        <v>114</v>
      </c>
      <c r="D348" s="54" t="s">
        <v>4</v>
      </c>
      <c r="F348" s="55">
        <v>1</v>
      </c>
      <c r="K348" s="56"/>
    </row>
    <row r="349" spans="1:76" ht="14.4" x14ac:dyDescent="0.3">
      <c r="A349" s="1" t="s">
        <v>685</v>
      </c>
      <c r="B349" s="2" t="s">
        <v>686</v>
      </c>
      <c r="C349" s="75" t="s">
        <v>687</v>
      </c>
      <c r="D349" s="70"/>
      <c r="E349" s="2" t="s">
        <v>683</v>
      </c>
      <c r="F349" s="50">
        <v>1</v>
      </c>
      <c r="G349" s="50">
        <v>0</v>
      </c>
      <c r="H349" s="50">
        <f>ROUND(F349*AO349,2)</f>
        <v>0</v>
      </c>
      <c r="I349" s="50">
        <f>ROUND(F349*AP349,2)</f>
        <v>0</v>
      </c>
      <c r="J349" s="50">
        <f>ROUND(F349*G349,2)</f>
        <v>0</v>
      </c>
      <c r="K349" s="51" t="s">
        <v>4</v>
      </c>
      <c r="Z349" s="50">
        <f>ROUND(IF(AQ349="5",BJ349,0),2)</f>
        <v>0</v>
      </c>
      <c r="AB349" s="50">
        <f>ROUND(IF(AQ349="1",BH349,0),2)</f>
        <v>0</v>
      </c>
      <c r="AC349" s="50">
        <f>ROUND(IF(AQ349="1",BI349,0),2)</f>
        <v>0</v>
      </c>
      <c r="AD349" s="50">
        <f>ROUND(IF(AQ349="7",BH349,0),2)</f>
        <v>0</v>
      </c>
      <c r="AE349" s="50">
        <f>ROUND(IF(AQ349="7",BI349,0),2)</f>
        <v>0</v>
      </c>
      <c r="AF349" s="50">
        <f>ROUND(IF(AQ349="2",BH349,0),2)</f>
        <v>0</v>
      </c>
      <c r="AG349" s="50">
        <f>ROUND(IF(AQ349="2",BI349,0),2)</f>
        <v>0</v>
      </c>
      <c r="AH349" s="50">
        <f>ROUND(IF(AQ349="0",BJ349,0),2)</f>
        <v>0</v>
      </c>
      <c r="AI349" s="32" t="s">
        <v>4</v>
      </c>
      <c r="AJ349" s="50">
        <f>IF(AN349=0,J349,0)</f>
        <v>0</v>
      </c>
      <c r="AK349" s="50">
        <f>IF(AN349=12,J349,0)</f>
        <v>0</v>
      </c>
      <c r="AL349" s="50">
        <f>IF(AN349=21,J349,0)</f>
        <v>0</v>
      </c>
      <c r="AN349" s="50">
        <v>21</v>
      </c>
      <c r="AO349" s="50">
        <f>G349*0</f>
        <v>0</v>
      </c>
      <c r="AP349" s="50">
        <f>G349*(1-0)</f>
        <v>0</v>
      </c>
      <c r="AQ349" s="52" t="s">
        <v>126</v>
      </c>
      <c r="AV349" s="50">
        <f>ROUND(AW349+AX349,2)</f>
        <v>0</v>
      </c>
      <c r="AW349" s="50">
        <f>ROUND(F349*AO349,2)</f>
        <v>0</v>
      </c>
      <c r="AX349" s="50">
        <f>ROUND(F349*AP349,2)</f>
        <v>0</v>
      </c>
      <c r="AY349" s="52" t="s">
        <v>684</v>
      </c>
      <c r="AZ349" s="52" t="s">
        <v>602</v>
      </c>
      <c r="BA349" s="32" t="s">
        <v>121</v>
      </c>
      <c r="BC349" s="50">
        <f>AW349+AX349</f>
        <v>0</v>
      </c>
      <c r="BD349" s="50">
        <f>G349/(100-BE349)*100</f>
        <v>0</v>
      </c>
      <c r="BE349" s="50">
        <v>0</v>
      </c>
      <c r="BF349" s="50">
        <f>349</f>
        <v>349</v>
      </c>
      <c r="BH349" s="50">
        <f>F349*AO349</f>
        <v>0</v>
      </c>
      <c r="BI349" s="50">
        <f>F349*AP349</f>
        <v>0</v>
      </c>
      <c r="BJ349" s="50">
        <f>F349*G349</f>
        <v>0</v>
      </c>
      <c r="BK349" s="52" t="s">
        <v>122</v>
      </c>
      <c r="BL349" s="50"/>
      <c r="BW349" s="50">
        <v>21</v>
      </c>
      <c r="BX349" s="3" t="s">
        <v>687</v>
      </c>
    </row>
    <row r="350" spans="1:76" ht="14.4" x14ac:dyDescent="0.3">
      <c r="A350" s="53"/>
      <c r="C350" s="54" t="s">
        <v>114</v>
      </c>
      <c r="D350" s="54" t="s">
        <v>4</v>
      </c>
      <c r="F350" s="55">
        <v>1</v>
      </c>
      <c r="K350" s="56"/>
    </row>
    <row r="351" spans="1:76" ht="14.4" x14ac:dyDescent="0.3">
      <c r="A351" s="46" t="s">
        <v>4</v>
      </c>
      <c r="B351" s="47" t="s">
        <v>688</v>
      </c>
      <c r="C351" s="148" t="s">
        <v>689</v>
      </c>
      <c r="D351" s="149"/>
      <c r="E351" s="48" t="s">
        <v>79</v>
      </c>
      <c r="F351" s="48" t="s">
        <v>79</v>
      </c>
      <c r="G351" s="48" t="s">
        <v>79</v>
      </c>
      <c r="H351" s="26">
        <f>ROUND(SUM(H352:H358),2)</f>
        <v>0</v>
      </c>
      <c r="I351" s="26">
        <f>ROUND(SUM(I352:I358),2)</f>
        <v>0</v>
      </c>
      <c r="J351" s="26">
        <f>ROUND(SUM(J352:J358),2)</f>
        <v>0</v>
      </c>
      <c r="K351" s="49" t="s">
        <v>4</v>
      </c>
      <c r="AI351" s="32" t="s">
        <v>4</v>
      </c>
      <c r="AS351" s="26">
        <f>SUM(AJ352:AJ358)</f>
        <v>0</v>
      </c>
      <c r="AT351" s="26">
        <f>SUM(AK352:AK358)</f>
        <v>0</v>
      </c>
      <c r="AU351" s="26">
        <f>SUM(AL352:AL358)</f>
        <v>0</v>
      </c>
    </row>
    <row r="352" spans="1:76" ht="14.4" x14ac:dyDescent="0.3">
      <c r="A352" s="1" t="s">
        <v>690</v>
      </c>
      <c r="B352" s="2" t="s">
        <v>691</v>
      </c>
      <c r="C352" s="75" t="s">
        <v>692</v>
      </c>
      <c r="D352" s="70"/>
      <c r="E352" s="2" t="s">
        <v>219</v>
      </c>
      <c r="F352" s="50">
        <v>89.7</v>
      </c>
      <c r="G352" s="50">
        <v>0</v>
      </c>
      <c r="H352" s="50">
        <f>ROUND(F352*AO352,2)</f>
        <v>0</v>
      </c>
      <c r="I352" s="50">
        <f>ROUND(F352*AP352,2)</f>
        <v>0</v>
      </c>
      <c r="J352" s="50">
        <f>ROUND(F352*G352,2)</f>
        <v>0</v>
      </c>
      <c r="K352" s="51" t="s">
        <v>118</v>
      </c>
      <c r="Z352" s="50">
        <f>ROUND(IF(AQ352="5",BJ352,0),2)</f>
        <v>0</v>
      </c>
      <c r="AB352" s="50">
        <f>ROUND(IF(AQ352="1",BH352,0),2)</f>
        <v>0</v>
      </c>
      <c r="AC352" s="50">
        <f>ROUND(IF(AQ352="1",BI352,0),2)</f>
        <v>0</v>
      </c>
      <c r="AD352" s="50">
        <f>ROUND(IF(AQ352="7",BH352,0),2)</f>
        <v>0</v>
      </c>
      <c r="AE352" s="50">
        <f>ROUND(IF(AQ352="7",BI352,0),2)</f>
        <v>0</v>
      </c>
      <c r="AF352" s="50">
        <f>ROUND(IF(AQ352="2",BH352,0),2)</f>
        <v>0</v>
      </c>
      <c r="AG352" s="50">
        <f>ROUND(IF(AQ352="2",BI352,0),2)</f>
        <v>0</v>
      </c>
      <c r="AH352" s="50">
        <f>ROUND(IF(AQ352="0",BJ352,0),2)</f>
        <v>0</v>
      </c>
      <c r="AI352" s="32" t="s">
        <v>4</v>
      </c>
      <c r="AJ352" s="50">
        <f>IF(AN352=0,J352,0)</f>
        <v>0</v>
      </c>
      <c r="AK352" s="50">
        <f>IF(AN352=12,J352,0)</f>
        <v>0</v>
      </c>
      <c r="AL352" s="50">
        <f>IF(AN352=21,J352,0)</f>
        <v>0</v>
      </c>
      <c r="AN352" s="50">
        <v>21</v>
      </c>
      <c r="AO352" s="50">
        <f>G352*0</f>
        <v>0</v>
      </c>
      <c r="AP352" s="50">
        <f>G352*(1-0)</f>
        <v>0</v>
      </c>
      <c r="AQ352" s="52" t="s">
        <v>139</v>
      </c>
      <c r="AV352" s="50">
        <f>ROUND(AW352+AX352,2)</f>
        <v>0</v>
      </c>
      <c r="AW352" s="50">
        <f>ROUND(F352*AO352,2)</f>
        <v>0</v>
      </c>
      <c r="AX352" s="50">
        <f>ROUND(F352*AP352,2)</f>
        <v>0</v>
      </c>
      <c r="AY352" s="52" t="s">
        <v>693</v>
      </c>
      <c r="AZ352" s="52" t="s">
        <v>602</v>
      </c>
      <c r="BA352" s="32" t="s">
        <v>121</v>
      </c>
      <c r="BC352" s="50">
        <f>AW352+AX352</f>
        <v>0</v>
      </c>
      <c r="BD352" s="50">
        <f>G352/(100-BE352)*100</f>
        <v>0</v>
      </c>
      <c r="BE352" s="50">
        <v>0</v>
      </c>
      <c r="BF352" s="50">
        <f>352</f>
        <v>352</v>
      </c>
      <c r="BH352" s="50">
        <f>F352*AO352</f>
        <v>0</v>
      </c>
      <c r="BI352" s="50">
        <f>F352*AP352</f>
        <v>0</v>
      </c>
      <c r="BJ352" s="50">
        <f>F352*G352</f>
        <v>0</v>
      </c>
      <c r="BK352" s="52" t="s">
        <v>122</v>
      </c>
      <c r="BL352" s="50"/>
      <c r="BW352" s="50">
        <v>21</v>
      </c>
      <c r="BX352" s="3" t="s">
        <v>692</v>
      </c>
    </row>
    <row r="353" spans="1:76" ht="14.4" x14ac:dyDescent="0.3">
      <c r="A353" s="53"/>
      <c r="C353" s="54" t="s">
        <v>694</v>
      </c>
      <c r="D353" s="54" t="s">
        <v>4</v>
      </c>
      <c r="F353" s="55">
        <v>89.7</v>
      </c>
      <c r="K353" s="56"/>
    </row>
    <row r="354" spans="1:76" ht="14.4" x14ac:dyDescent="0.3">
      <c r="A354" s="1" t="s">
        <v>695</v>
      </c>
      <c r="B354" s="2" t="s">
        <v>696</v>
      </c>
      <c r="C354" s="75" t="s">
        <v>697</v>
      </c>
      <c r="D354" s="70"/>
      <c r="E354" s="2" t="s">
        <v>219</v>
      </c>
      <c r="F354" s="50">
        <v>0.58030000000000004</v>
      </c>
      <c r="G354" s="50">
        <v>0</v>
      </c>
      <c r="H354" s="50">
        <f>ROUND(F354*AO354,2)</f>
        <v>0</v>
      </c>
      <c r="I354" s="50">
        <f>ROUND(F354*AP354,2)</f>
        <v>0</v>
      </c>
      <c r="J354" s="50">
        <f>ROUND(F354*G354,2)</f>
        <v>0</v>
      </c>
      <c r="K354" s="51" t="s">
        <v>118</v>
      </c>
      <c r="Z354" s="50">
        <f>ROUND(IF(AQ354="5",BJ354,0),2)</f>
        <v>0</v>
      </c>
      <c r="AB354" s="50">
        <f>ROUND(IF(AQ354="1",BH354,0),2)</f>
        <v>0</v>
      </c>
      <c r="AC354" s="50">
        <f>ROUND(IF(AQ354="1",BI354,0),2)</f>
        <v>0</v>
      </c>
      <c r="AD354" s="50">
        <f>ROUND(IF(AQ354="7",BH354,0),2)</f>
        <v>0</v>
      </c>
      <c r="AE354" s="50">
        <f>ROUND(IF(AQ354="7",BI354,0),2)</f>
        <v>0</v>
      </c>
      <c r="AF354" s="50">
        <f>ROUND(IF(AQ354="2",BH354,0),2)</f>
        <v>0</v>
      </c>
      <c r="AG354" s="50">
        <f>ROUND(IF(AQ354="2",BI354,0),2)</f>
        <v>0</v>
      </c>
      <c r="AH354" s="50">
        <f>ROUND(IF(AQ354="0",BJ354,0),2)</f>
        <v>0</v>
      </c>
      <c r="AI354" s="32" t="s">
        <v>4</v>
      </c>
      <c r="AJ354" s="50">
        <f>IF(AN354=0,J354,0)</f>
        <v>0</v>
      </c>
      <c r="AK354" s="50">
        <f>IF(AN354=12,J354,0)</f>
        <v>0</v>
      </c>
      <c r="AL354" s="50">
        <f>IF(AN354=21,J354,0)</f>
        <v>0</v>
      </c>
      <c r="AN354" s="50">
        <v>21</v>
      </c>
      <c r="AO354" s="50">
        <f>G354*0</f>
        <v>0</v>
      </c>
      <c r="AP354" s="50">
        <f>G354*(1-0)</f>
        <v>0</v>
      </c>
      <c r="AQ354" s="52" t="s">
        <v>139</v>
      </c>
      <c r="AV354" s="50">
        <f>ROUND(AW354+AX354,2)</f>
        <v>0</v>
      </c>
      <c r="AW354" s="50">
        <f>ROUND(F354*AO354,2)</f>
        <v>0</v>
      </c>
      <c r="AX354" s="50">
        <f>ROUND(F354*AP354,2)</f>
        <v>0</v>
      </c>
      <c r="AY354" s="52" t="s">
        <v>693</v>
      </c>
      <c r="AZ354" s="52" t="s">
        <v>602</v>
      </c>
      <c r="BA354" s="32" t="s">
        <v>121</v>
      </c>
      <c r="BC354" s="50">
        <f>AW354+AX354</f>
        <v>0</v>
      </c>
      <c r="BD354" s="50">
        <f>G354/(100-BE354)*100</f>
        <v>0</v>
      </c>
      <c r="BE354" s="50">
        <v>0</v>
      </c>
      <c r="BF354" s="50">
        <f>354</f>
        <v>354</v>
      </c>
      <c r="BH354" s="50">
        <f>F354*AO354</f>
        <v>0</v>
      </c>
      <c r="BI354" s="50">
        <f>F354*AP354</f>
        <v>0</v>
      </c>
      <c r="BJ354" s="50">
        <f>F354*G354</f>
        <v>0</v>
      </c>
      <c r="BK354" s="52" t="s">
        <v>122</v>
      </c>
      <c r="BL354" s="50"/>
      <c r="BW354" s="50">
        <v>21</v>
      </c>
      <c r="BX354" s="3" t="s">
        <v>697</v>
      </c>
    </row>
    <row r="355" spans="1:76" ht="14.4" x14ac:dyDescent="0.3">
      <c r="A355" s="53"/>
      <c r="C355" s="54" t="s">
        <v>698</v>
      </c>
      <c r="D355" s="54" t="s">
        <v>4</v>
      </c>
      <c r="F355" s="55">
        <v>0.58030000000000004</v>
      </c>
      <c r="K355" s="56"/>
    </row>
    <row r="356" spans="1:76" ht="14.4" x14ac:dyDescent="0.3">
      <c r="A356" s="1" t="s">
        <v>699</v>
      </c>
      <c r="B356" s="2" t="s">
        <v>700</v>
      </c>
      <c r="C356" s="75" t="s">
        <v>701</v>
      </c>
      <c r="D356" s="70"/>
      <c r="E356" s="2" t="s">
        <v>219</v>
      </c>
      <c r="F356" s="50">
        <v>84.82</v>
      </c>
      <c r="G356" s="50">
        <v>0</v>
      </c>
      <c r="H356" s="50">
        <f>ROUND(F356*AO356,2)</f>
        <v>0</v>
      </c>
      <c r="I356" s="50">
        <f>ROUND(F356*AP356,2)</f>
        <v>0</v>
      </c>
      <c r="J356" s="50">
        <f>ROUND(F356*G356,2)</f>
        <v>0</v>
      </c>
      <c r="K356" s="51" t="s">
        <v>118</v>
      </c>
      <c r="Z356" s="50">
        <f>ROUND(IF(AQ356="5",BJ356,0),2)</f>
        <v>0</v>
      </c>
      <c r="AB356" s="50">
        <f>ROUND(IF(AQ356="1",BH356,0),2)</f>
        <v>0</v>
      </c>
      <c r="AC356" s="50">
        <f>ROUND(IF(AQ356="1",BI356,0),2)</f>
        <v>0</v>
      </c>
      <c r="AD356" s="50">
        <f>ROUND(IF(AQ356="7",BH356,0),2)</f>
        <v>0</v>
      </c>
      <c r="AE356" s="50">
        <f>ROUND(IF(AQ356="7",BI356,0),2)</f>
        <v>0</v>
      </c>
      <c r="AF356" s="50">
        <f>ROUND(IF(AQ356="2",BH356,0),2)</f>
        <v>0</v>
      </c>
      <c r="AG356" s="50">
        <f>ROUND(IF(AQ356="2",BI356,0),2)</f>
        <v>0</v>
      </c>
      <c r="AH356" s="50">
        <f>ROUND(IF(AQ356="0",BJ356,0),2)</f>
        <v>0</v>
      </c>
      <c r="AI356" s="32" t="s">
        <v>4</v>
      </c>
      <c r="AJ356" s="50">
        <f>IF(AN356=0,J356,0)</f>
        <v>0</v>
      </c>
      <c r="AK356" s="50">
        <f>IF(AN356=12,J356,0)</f>
        <v>0</v>
      </c>
      <c r="AL356" s="50">
        <f>IF(AN356=21,J356,0)</f>
        <v>0</v>
      </c>
      <c r="AN356" s="50">
        <v>21</v>
      </c>
      <c r="AO356" s="50">
        <f>G356*0</f>
        <v>0</v>
      </c>
      <c r="AP356" s="50">
        <f>G356*(1-0)</f>
        <v>0</v>
      </c>
      <c r="AQ356" s="52" t="s">
        <v>139</v>
      </c>
      <c r="AV356" s="50">
        <f>ROUND(AW356+AX356,2)</f>
        <v>0</v>
      </c>
      <c r="AW356" s="50">
        <f>ROUND(F356*AO356,2)</f>
        <v>0</v>
      </c>
      <c r="AX356" s="50">
        <f>ROUND(F356*AP356,2)</f>
        <v>0</v>
      </c>
      <c r="AY356" s="52" t="s">
        <v>693</v>
      </c>
      <c r="AZ356" s="52" t="s">
        <v>602</v>
      </c>
      <c r="BA356" s="32" t="s">
        <v>121</v>
      </c>
      <c r="BC356" s="50">
        <f>AW356+AX356</f>
        <v>0</v>
      </c>
      <c r="BD356" s="50">
        <f>G356/(100-BE356)*100</f>
        <v>0</v>
      </c>
      <c r="BE356" s="50">
        <v>0</v>
      </c>
      <c r="BF356" s="50">
        <f>356</f>
        <v>356</v>
      </c>
      <c r="BH356" s="50">
        <f>F356*AO356</f>
        <v>0</v>
      </c>
      <c r="BI356" s="50">
        <f>F356*AP356</f>
        <v>0</v>
      </c>
      <c r="BJ356" s="50">
        <f>F356*G356</f>
        <v>0</v>
      </c>
      <c r="BK356" s="52" t="s">
        <v>122</v>
      </c>
      <c r="BL356" s="50"/>
      <c r="BW356" s="50">
        <v>21</v>
      </c>
      <c r="BX356" s="3" t="s">
        <v>701</v>
      </c>
    </row>
    <row r="357" spans="1:76" ht="14.4" x14ac:dyDescent="0.3">
      <c r="A357" s="53"/>
      <c r="C357" s="54" t="s">
        <v>702</v>
      </c>
      <c r="D357" s="54" t="s">
        <v>4</v>
      </c>
      <c r="F357" s="55">
        <v>84.82</v>
      </c>
      <c r="K357" s="56"/>
    </row>
    <row r="358" spans="1:76" ht="14.4" x14ac:dyDescent="0.3">
      <c r="A358" s="1" t="s">
        <v>703</v>
      </c>
      <c r="B358" s="2" t="s">
        <v>704</v>
      </c>
      <c r="C358" s="75" t="s">
        <v>705</v>
      </c>
      <c r="D358" s="70"/>
      <c r="E358" s="2" t="s">
        <v>219</v>
      </c>
      <c r="F358" s="50">
        <v>4.3</v>
      </c>
      <c r="G358" s="50">
        <v>0</v>
      </c>
      <c r="H358" s="50">
        <f>ROUND(F358*AO358,2)</f>
        <v>0</v>
      </c>
      <c r="I358" s="50">
        <f>ROUND(F358*AP358,2)</f>
        <v>0</v>
      </c>
      <c r="J358" s="50">
        <f>ROUND(F358*G358,2)</f>
        <v>0</v>
      </c>
      <c r="K358" s="51" t="s">
        <v>118</v>
      </c>
      <c r="Z358" s="50">
        <f>ROUND(IF(AQ358="5",BJ358,0),2)</f>
        <v>0</v>
      </c>
      <c r="AB358" s="50">
        <f>ROUND(IF(AQ358="1",BH358,0),2)</f>
        <v>0</v>
      </c>
      <c r="AC358" s="50">
        <f>ROUND(IF(AQ358="1",BI358,0),2)</f>
        <v>0</v>
      </c>
      <c r="AD358" s="50">
        <f>ROUND(IF(AQ358="7",BH358,0),2)</f>
        <v>0</v>
      </c>
      <c r="AE358" s="50">
        <f>ROUND(IF(AQ358="7",BI358,0),2)</f>
        <v>0</v>
      </c>
      <c r="AF358" s="50">
        <f>ROUND(IF(AQ358="2",BH358,0),2)</f>
        <v>0</v>
      </c>
      <c r="AG358" s="50">
        <f>ROUND(IF(AQ358="2",BI358,0),2)</f>
        <v>0</v>
      </c>
      <c r="AH358" s="50">
        <f>ROUND(IF(AQ358="0",BJ358,0),2)</f>
        <v>0</v>
      </c>
      <c r="AI358" s="32" t="s">
        <v>4</v>
      </c>
      <c r="AJ358" s="50">
        <f>IF(AN358=0,J358,0)</f>
        <v>0</v>
      </c>
      <c r="AK358" s="50">
        <f>IF(AN358=12,J358,0)</f>
        <v>0</v>
      </c>
      <c r="AL358" s="50">
        <f>IF(AN358=21,J358,0)</f>
        <v>0</v>
      </c>
      <c r="AN358" s="50">
        <v>21</v>
      </c>
      <c r="AO358" s="50">
        <f>G358*0</f>
        <v>0</v>
      </c>
      <c r="AP358" s="50">
        <f>G358*(1-0)</f>
        <v>0</v>
      </c>
      <c r="AQ358" s="52" t="s">
        <v>139</v>
      </c>
      <c r="AV358" s="50">
        <f>ROUND(AW358+AX358,2)</f>
        <v>0</v>
      </c>
      <c r="AW358" s="50">
        <f>ROUND(F358*AO358,2)</f>
        <v>0</v>
      </c>
      <c r="AX358" s="50">
        <f>ROUND(F358*AP358,2)</f>
        <v>0</v>
      </c>
      <c r="AY358" s="52" t="s">
        <v>693</v>
      </c>
      <c r="AZ358" s="52" t="s">
        <v>602</v>
      </c>
      <c r="BA358" s="32" t="s">
        <v>121</v>
      </c>
      <c r="BC358" s="50">
        <f>AW358+AX358</f>
        <v>0</v>
      </c>
      <c r="BD358" s="50">
        <f>G358/(100-BE358)*100</f>
        <v>0</v>
      </c>
      <c r="BE358" s="50">
        <v>0</v>
      </c>
      <c r="BF358" s="50">
        <f>358</f>
        <v>358</v>
      </c>
      <c r="BH358" s="50">
        <f>F358*AO358</f>
        <v>0</v>
      </c>
      <c r="BI358" s="50">
        <f>F358*AP358</f>
        <v>0</v>
      </c>
      <c r="BJ358" s="50">
        <f>F358*G358</f>
        <v>0</v>
      </c>
      <c r="BK358" s="52" t="s">
        <v>122</v>
      </c>
      <c r="BL358" s="50"/>
      <c r="BW358" s="50">
        <v>21</v>
      </c>
      <c r="BX358" s="3" t="s">
        <v>705</v>
      </c>
    </row>
    <row r="359" spans="1:76" ht="14.4" x14ac:dyDescent="0.3">
      <c r="A359" s="53"/>
      <c r="C359" s="54" t="s">
        <v>706</v>
      </c>
      <c r="D359" s="54" t="s">
        <v>4</v>
      </c>
      <c r="F359" s="55">
        <v>4.3</v>
      </c>
      <c r="K359" s="56"/>
    </row>
    <row r="360" spans="1:76" ht="14.4" x14ac:dyDescent="0.3">
      <c r="A360" s="46" t="s">
        <v>4</v>
      </c>
      <c r="B360" s="47" t="s">
        <v>707</v>
      </c>
      <c r="C360" s="148" t="s">
        <v>57</v>
      </c>
      <c r="D360" s="149"/>
      <c r="E360" s="48" t="s">
        <v>79</v>
      </c>
      <c r="F360" s="48" t="s">
        <v>79</v>
      </c>
      <c r="G360" s="48" t="s">
        <v>79</v>
      </c>
      <c r="H360" s="26">
        <f>H361+H364+H371+H374</f>
        <v>0</v>
      </c>
      <c r="I360" s="26">
        <f>I361+I364+I371+I374</f>
        <v>0</v>
      </c>
      <c r="J360" s="26">
        <f>J361+J364+J371+J374</f>
        <v>0</v>
      </c>
      <c r="K360" s="49" t="s">
        <v>4</v>
      </c>
      <c r="AI360" s="32" t="s">
        <v>4</v>
      </c>
    </row>
    <row r="361" spans="1:76" ht="14.4" x14ac:dyDescent="0.3">
      <c r="A361" s="46" t="s">
        <v>4</v>
      </c>
      <c r="B361" s="47" t="s">
        <v>708</v>
      </c>
      <c r="C361" s="148" t="s">
        <v>68</v>
      </c>
      <c r="D361" s="149"/>
      <c r="E361" s="48" t="s">
        <v>79</v>
      </c>
      <c r="F361" s="48" t="s">
        <v>79</v>
      </c>
      <c r="G361" s="48" t="s">
        <v>79</v>
      </c>
      <c r="H361" s="26">
        <f>ROUND(SUM(H362:H362),2)</f>
        <v>0</v>
      </c>
      <c r="I361" s="26">
        <f>ROUND(SUM(I362:I362),2)</f>
        <v>0</v>
      </c>
      <c r="J361" s="26">
        <f>ROUND(SUM(J362:J362),2)</f>
        <v>0</v>
      </c>
      <c r="K361" s="49" t="s">
        <v>4</v>
      </c>
      <c r="AI361" s="32" t="s">
        <v>4</v>
      </c>
      <c r="AS361" s="26">
        <f>SUM(AJ362:AJ362)</f>
        <v>0</v>
      </c>
      <c r="AT361" s="26">
        <f>SUM(AK362:AK362)</f>
        <v>0</v>
      </c>
      <c r="AU361" s="26">
        <f>SUM(AL362:AL362)</f>
        <v>0</v>
      </c>
    </row>
    <row r="362" spans="1:76" ht="14.4" x14ac:dyDescent="0.3">
      <c r="A362" s="1" t="s">
        <v>709</v>
      </c>
      <c r="B362" s="2" t="s">
        <v>710</v>
      </c>
      <c r="C362" s="75" t="s">
        <v>711</v>
      </c>
      <c r="D362" s="70"/>
      <c r="E362" s="2" t="s">
        <v>712</v>
      </c>
      <c r="F362" s="50">
        <v>1</v>
      </c>
      <c r="G362" s="50">
        <v>0</v>
      </c>
      <c r="H362" s="50">
        <f>ROUND(F362*AO362,2)</f>
        <v>0</v>
      </c>
      <c r="I362" s="50">
        <f>ROUND(F362*AP362,2)</f>
        <v>0</v>
      </c>
      <c r="J362" s="50">
        <f>ROUND(F362*G362,2)</f>
        <v>0</v>
      </c>
      <c r="K362" s="51" t="s">
        <v>4</v>
      </c>
      <c r="Z362" s="50">
        <f>ROUND(IF(AQ362="5",BJ362,0),2)</f>
        <v>0</v>
      </c>
      <c r="AB362" s="50">
        <f>ROUND(IF(AQ362="1",BH362,0),2)</f>
        <v>0</v>
      </c>
      <c r="AC362" s="50">
        <f>ROUND(IF(AQ362="1",BI362,0),2)</f>
        <v>0</v>
      </c>
      <c r="AD362" s="50">
        <f>ROUND(IF(AQ362="7",BH362,0),2)</f>
        <v>0</v>
      </c>
      <c r="AE362" s="50">
        <f>ROUND(IF(AQ362="7",BI362,0),2)</f>
        <v>0</v>
      </c>
      <c r="AF362" s="50">
        <f>ROUND(IF(AQ362="2",BH362,0),2)</f>
        <v>0</v>
      </c>
      <c r="AG362" s="50">
        <f>ROUND(IF(AQ362="2",BI362,0),2)</f>
        <v>0</v>
      </c>
      <c r="AH362" s="50">
        <f>ROUND(IF(AQ362="0",BJ362,0),2)</f>
        <v>0</v>
      </c>
      <c r="AI362" s="32" t="s">
        <v>4</v>
      </c>
      <c r="AJ362" s="50">
        <f>IF(AN362=0,J362,0)</f>
        <v>0</v>
      </c>
      <c r="AK362" s="50">
        <f>IF(AN362=12,J362,0)</f>
        <v>0</v>
      </c>
      <c r="AL362" s="50">
        <f>IF(AN362=21,J362,0)</f>
        <v>0</v>
      </c>
      <c r="AN362" s="50">
        <v>21</v>
      </c>
      <c r="AO362" s="50">
        <f>G362*0</f>
        <v>0</v>
      </c>
      <c r="AP362" s="50">
        <f>G362*(1-0)</f>
        <v>0</v>
      </c>
      <c r="AQ362" s="52" t="s">
        <v>587</v>
      </c>
      <c r="AV362" s="50">
        <f>ROUND(AW362+AX362,2)</f>
        <v>0</v>
      </c>
      <c r="AW362" s="50">
        <f>ROUND(F362*AO362,2)</f>
        <v>0</v>
      </c>
      <c r="AX362" s="50">
        <f>ROUND(F362*AP362,2)</f>
        <v>0</v>
      </c>
      <c r="AY362" s="52" t="s">
        <v>713</v>
      </c>
      <c r="AZ362" s="52" t="s">
        <v>714</v>
      </c>
      <c r="BA362" s="32" t="s">
        <v>121</v>
      </c>
      <c r="BC362" s="50">
        <f>AW362+AX362</f>
        <v>0</v>
      </c>
      <c r="BD362" s="50">
        <f>G362/(100-BE362)*100</f>
        <v>0</v>
      </c>
      <c r="BE362" s="50">
        <v>0</v>
      </c>
      <c r="BF362" s="50">
        <f>362</f>
        <v>362</v>
      </c>
      <c r="BH362" s="50">
        <f>F362*AO362</f>
        <v>0</v>
      </c>
      <c r="BI362" s="50">
        <f>F362*AP362</f>
        <v>0</v>
      </c>
      <c r="BJ362" s="50">
        <f>F362*G362</f>
        <v>0</v>
      </c>
      <c r="BK362" s="52" t="s">
        <v>122</v>
      </c>
      <c r="BL362" s="50"/>
      <c r="BM362" s="50">
        <f>F362*G362</f>
        <v>0</v>
      </c>
      <c r="BW362" s="50">
        <v>21</v>
      </c>
      <c r="BX362" s="3" t="s">
        <v>711</v>
      </c>
    </row>
    <row r="363" spans="1:76" ht="14.4" x14ac:dyDescent="0.3">
      <c r="A363" s="53"/>
      <c r="C363" s="54" t="s">
        <v>114</v>
      </c>
      <c r="D363" s="54" t="s">
        <v>4</v>
      </c>
      <c r="F363" s="55">
        <v>1</v>
      </c>
      <c r="K363" s="56"/>
    </row>
    <row r="364" spans="1:76" ht="14.4" x14ac:dyDescent="0.3">
      <c r="A364" s="46" t="s">
        <v>4</v>
      </c>
      <c r="B364" s="47" t="s">
        <v>715</v>
      </c>
      <c r="C364" s="148" t="s">
        <v>25</v>
      </c>
      <c r="D364" s="149"/>
      <c r="E364" s="48" t="s">
        <v>79</v>
      </c>
      <c r="F364" s="48" t="s">
        <v>79</v>
      </c>
      <c r="G364" s="48" t="s">
        <v>79</v>
      </c>
      <c r="H364" s="26">
        <f>ROUND(SUM(H365:H369),2)</f>
        <v>0</v>
      </c>
      <c r="I364" s="26">
        <f>ROUND(SUM(I365:I369),2)</f>
        <v>0</v>
      </c>
      <c r="J364" s="26">
        <f>ROUND(SUM(J365:J369),2)</f>
        <v>0</v>
      </c>
      <c r="K364" s="49" t="s">
        <v>4</v>
      </c>
      <c r="AI364" s="32" t="s">
        <v>4</v>
      </c>
      <c r="AS364" s="26">
        <f>SUM(AJ365:AJ369)</f>
        <v>0</v>
      </c>
      <c r="AT364" s="26">
        <f>SUM(AK365:AK369)</f>
        <v>0</v>
      </c>
      <c r="AU364" s="26">
        <f>SUM(AL365:AL369)</f>
        <v>0</v>
      </c>
    </row>
    <row r="365" spans="1:76" ht="14.4" x14ac:dyDescent="0.3">
      <c r="A365" s="1" t="s">
        <v>716</v>
      </c>
      <c r="B365" s="2" t="s">
        <v>717</v>
      </c>
      <c r="C365" s="75" t="s">
        <v>25</v>
      </c>
      <c r="D365" s="70"/>
      <c r="E365" s="2" t="s">
        <v>712</v>
      </c>
      <c r="F365" s="50">
        <v>1</v>
      </c>
      <c r="G365" s="50">
        <v>0</v>
      </c>
      <c r="H365" s="50">
        <f>ROUND(F365*AO365,2)</f>
        <v>0</v>
      </c>
      <c r="I365" s="50">
        <f>ROUND(F365*AP365,2)</f>
        <v>0</v>
      </c>
      <c r="J365" s="50">
        <f>ROUND(F365*G365,2)</f>
        <v>0</v>
      </c>
      <c r="K365" s="51" t="s">
        <v>4</v>
      </c>
      <c r="Z365" s="50">
        <f>ROUND(IF(AQ365="5",BJ365,0),2)</f>
        <v>0</v>
      </c>
      <c r="AB365" s="50">
        <f>ROUND(IF(AQ365="1",BH365,0),2)</f>
        <v>0</v>
      </c>
      <c r="AC365" s="50">
        <f>ROUND(IF(AQ365="1",BI365,0),2)</f>
        <v>0</v>
      </c>
      <c r="AD365" s="50">
        <f>ROUND(IF(AQ365="7",BH365,0),2)</f>
        <v>0</v>
      </c>
      <c r="AE365" s="50">
        <f>ROUND(IF(AQ365="7",BI365,0),2)</f>
        <v>0</v>
      </c>
      <c r="AF365" s="50">
        <f>ROUND(IF(AQ365="2",BH365,0),2)</f>
        <v>0</v>
      </c>
      <c r="AG365" s="50">
        <f>ROUND(IF(AQ365="2",BI365,0),2)</f>
        <v>0</v>
      </c>
      <c r="AH365" s="50">
        <f>ROUND(IF(AQ365="0",BJ365,0),2)</f>
        <v>0</v>
      </c>
      <c r="AI365" s="32" t="s">
        <v>4</v>
      </c>
      <c r="AJ365" s="50">
        <f>IF(AN365=0,J365,0)</f>
        <v>0</v>
      </c>
      <c r="AK365" s="50">
        <f>IF(AN365=12,J365,0)</f>
        <v>0</v>
      </c>
      <c r="AL365" s="50">
        <f>IF(AN365=21,J365,0)</f>
        <v>0</v>
      </c>
      <c r="AN365" s="50">
        <v>21</v>
      </c>
      <c r="AO365" s="50">
        <f>G365*0</f>
        <v>0</v>
      </c>
      <c r="AP365" s="50">
        <f>G365*(1-0)</f>
        <v>0</v>
      </c>
      <c r="AQ365" s="52" t="s">
        <v>587</v>
      </c>
      <c r="AV365" s="50">
        <f>ROUND(AW365+AX365,2)</f>
        <v>0</v>
      </c>
      <c r="AW365" s="50">
        <f>ROUND(F365*AO365,2)</f>
        <v>0</v>
      </c>
      <c r="AX365" s="50">
        <f>ROUND(F365*AP365,2)</f>
        <v>0</v>
      </c>
      <c r="AY365" s="52" t="s">
        <v>718</v>
      </c>
      <c r="AZ365" s="52" t="s">
        <v>714</v>
      </c>
      <c r="BA365" s="32" t="s">
        <v>121</v>
      </c>
      <c r="BC365" s="50">
        <f>AW365+AX365</f>
        <v>0</v>
      </c>
      <c r="BD365" s="50">
        <f>G365/(100-BE365)*100</f>
        <v>0</v>
      </c>
      <c r="BE365" s="50">
        <v>0</v>
      </c>
      <c r="BF365" s="50">
        <f>365</f>
        <v>365</v>
      </c>
      <c r="BH365" s="50">
        <f>F365*AO365</f>
        <v>0</v>
      </c>
      <c r="BI365" s="50">
        <f>F365*AP365</f>
        <v>0</v>
      </c>
      <c r="BJ365" s="50">
        <f>F365*G365</f>
        <v>0</v>
      </c>
      <c r="BK365" s="52" t="s">
        <v>122</v>
      </c>
      <c r="BL365" s="50"/>
      <c r="BO365" s="50">
        <f>F365*G365</f>
        <v>0</v>
      </c>
      <c r="BW365" s="50">
        <v>21</v>
      </c>
      <c r="BX365" s="3" t="s">
        <v>25</v>
      </c>
    </row>
    <row r="366" spans="1:76" ht="14.4" x14ac:dyDescent="0.3">
      <c r="A366" s="53"/>
      <c r="C366" s="54" t="s">
        <v>114</v>
      </c>
      <c r="D366" s="54" t="s">
        <v>4</v>
      </c>
      <c r="F366" s="55">
        <v>1</v>
      </c>
      <c r="K366" s="56"/>
    </row>
    <row r="367" spans="1:76" ht="14.4" x14ac:dyDescent="0.3">
      <c r="A367" s="1" t="s">
        <v>719</v>
      </c>
      <c r="B367" s="2" t="s">
        <v>720</v>
      </c>
      <c r="C367" s="75" t="s">
        <v>721</v>
      </c>
      <c r="D367" s="70"/>
      <c r="E367" s="2" t="s">
        <v>712</v>
      </c>
      <c r="F367" s="50">
        <v>1</v>
      </c>
      <c r="G367" s="50">
        <v>0</v>
      </c>
      <c r="H367" s="50">
        <f>ROUND(F367*AO367,2)</f>
        <v>0</v>
      </c>
      <c r="I367" s="50">
        <f>ROUND(F367*AP367,2)</f>
        <v>0</v>
      </c>
      <c r="J367" s="50">
        <f>ROUND(F367*G367,2)</f>
        <v>0</v>
      </c>
      <c r="K367" s="51" t="s">
        <v>4</v>
      </c>
      <c r="Z367" s="50">
        <f>ROUND(IF(AQ367="5",BJ367,0),2)</f>
        <v>0</v>
      </c>
      <c r="AB367" s="50">
        <f>ROUND(IF(AQ367="1",BH367,0),2)</f>
        <v>0</v>
      </c>
      <c r="AC367" s="50">
        <f>ROUND(IF(AQ367="1",BI367,0),2)</f>
        <v>0</v>
      </c>
      <c r="AD367" s="50">
        <f>ROUND(IF(AQ367="7",BH367,0),2)</f>
        <v>0</v>
      </c>
      <c r="AE367" s="50">
        <f>ROUND(IF(AQ367="7",BI367,0),2)</f>
        <v>0</v>
      </c>
      <c r="AF367" s="50">
        <f>ROUND(IF(AQ367="2",BH367,0),2)</f>
        <v>0</v>
      </c>
      <c r="AG367" s="50">
        <f>ROUND(IF(AQ367="2",BI367,0),2)</f>
        <v>0</v>
      </c>
      <c r="AH367" s="50">
        <f>ROUND(IF(AQ367="0",BJ367,0),2)</f>
        <v>0</v>
      </c>
      <c r="AI367" s="32" t="s">
        <v>4</v>
      </c>
      <c r="AJ367" s="50">
        <f>IF(AN367=0,J367,0)</f>
        <v>0</v>
      </c>
      <c r="AK367" s="50">
        <f>IF(AN367=12,J367,0)</f>
        <v>0</v>
      </c>
      <c r="AL367" s="50">
        <f>IF(AN367=21,J367,0)</f>
        <v>0</v>
      </c>
      <c r="AN367" s="50">
        <v>21</v>
      </c>
      <c r="AO367" s="50">
        <f>G367*0</f>
        <v>0</v>
      </c>
      <c r="AP367" s="50">
        <f>G367*(1-0)</f>
        <v>0</v>
      </c>
      <c r="AQ367" s="52" t="s">
        <v>587</v>
      </c>
      <c r="AV367" s="50">
        <f>ROUND(AW367+AX367,2)</f>
        <v>0</v>
      </c>
      <c r="AW367" s="50">
        <f>ROUND(F367*AO367,2)</f>
        <v>0</v>
      </c>
      <c r="AX367" s="50">
        <f>ROUND(F367*AP367,2)</f>
        <v>0</v>
      </c>
      <c r="AY367" s="52" t="s">
        <v>718</v>
      </c>
      <c r="AZ367" s="52" t="s">
        <v>714</v>
      </c>
      <c r="BA367" s="32" t="s">
        <v>121</v>
      </c>
      <c r="BC367" s="50">
        <f>AW367+AX367</f>
        <v>0</v>
      </c>
      <c r="BD367" s="50">
        <f>G367/(100-BE367)*100</f>
        <v>0</v>
      </c>
      <c r="BE367" s="50">
        <v>0</v>
      </c>
      <c r="BF367" s="50">
        <f>367</f>
        <v>367</v>
      </c>
      <c r="BH367" s="50">
        <f>F367*AO367</f>
        <v>0</v>
      </c>
      <c r="BI367" s="50">
        <f>F367*AP367</f>
        <v>0</v>
      </c>
      <c r="BJ367" s="50">
        <f>F367*G367</f>
        <v>0</v>
      </c>
      <c r="BK367" s="52" t="s">
        <v>122</v>
      </c>
      <c r="BL367" s="50"/>
      <c r="BO367" s="50">
        <f>F367*G367</f>
        <v>0</v>
      </c>
      <c r="BW367" s="50">
        <v>21</v>
      </c>
      <c r="BX367" s="3" t="s">
        <v>721</v>
      </c>
    </row>
    <row r="368" spans="1:76" ht="14.4" x14ac:dyDescent="0.3">
      <c r="A368" s="53"/>
      <c r="C368" s="54" t="s">
        <v>114</v>
      </c>
      <c r="D368" s="54" t="s">
        <v>4</v>
      </c>
      <c r="F368" s="55">
        <v>1</v>
      </c>
      <c r="K368" s="56"/>
    </row>
    <row r="369" spans="1:76" ht="14.4" x14ac:dyDescent="0.3">
      <c r="A369" s="1" t="s">
        <v>722</v>
      </c>
      <c r="B369" s="2" t="s">
        <v>723</v>
      </c>
      <c r="C369" s="75" t="s">
        <v>724</v>
      </c>
      <c r="D369" s="70"/>
      <c r="E369" s="2" t="s">
        <v>712</v>
      </c>
      <c r="F369" s="50">
        <v>1</v>
      </c>
      <c r="G369" s="50">
        <v>0</v>
      </c>
      <c r="H369" s="50">
        <f>ROUND(F369*AO369,2)</f>
        <v>0</v>
      </c>
      <c r="I369" s="50">
        <f>ROUND(F369*AP369,2)</f>
        <v>0</v>
      </c>
      <c r="J369" s="50">
        <f>ROUND(F369*G369,2)</f>
        <v>0</v>
      </c>
      <c r="K369" s="51" t="s">
        <v>4</v>
      </c>
      <c r="Z369" s="50">
        <f>ROUND(IF(AQ369="5",BJ369,0),2)</f>
        <v>0</v>
      </c>
      <c r="AB369" s="50">
        <f>ROUND(IF(AQ369="1",BH369,0),2)</f>
        <v>0</v>
      </c>
      <c r="AC369" s="50">
        <f>ROUND(IF(AQ369="1",BI369,0),2)</f>
        <v>0</v>
      </c>
      <c r="AD369" s="50">
        <f>ROUND(IF(AQ369="7",BH369,0),2)</f>
        <v>0</v>
      </c>
      <c r="AE369" s="50">
        <f>ROUND(IF(AQ369="7",BI369,0),2)</f>
        <v>0</v>
      </c>
      <c r="AF369" s="50">
        <f>ROUND(IF(AQ369="2",BH369,0),2)</f>
        <v>0</v>
      </c>
      <c r="AG369" s="50">
        <f>ROUND(IF(AQ369="2",BI369,0),2)</f>
        <v>0</v>
      </c>
      <c r="AH369" s="50">
        <f>ROUND(IF(AQ369="0",BJ369,0),2)</f>
        <v>0</v>
      </c>
      <c r="AI369" s="32" t="s">
        <v>4</v>
      </c>
      <c r="AJ369" s="50">
        <f>IF(AN369=0,J369,0)</f>
        <v>0</v>
      </c>
      <c r="AK369" s="50">
        <f>IF(AN369=12,J369,0)</f>
        <v>0</v>
      </c>
      <c r="AL369" s="50">
        <f>IF(AN369=21,J369,0)</f>
        <v>0</v>
      </c>
      <c r="AN369" s="50">
        <v>21</v>
      </c>
      <c r="AO369" s="50">
        <f>G369*0</f>
        <v>0</v>
      </c>
      <c r="AP369" s="50">
        <f>G369*(1-0)</f>
        <v>0</v>
      </c>
      <c r="AQ369" s="52" t="s">
        <v>587</v>
      </c>
      <c r="AV369" s="50">
        <f>ROUND(AW369+AX369,2)</f>
        <v>0</v>
      </c>
      <c r="AW369" s="50">
        <f>ROUND(F369*AO369,2)</f>
        <v>0</v>
      </c>
      <c r="AX369" s="50">
        <f>ROUND(F369*AP369,2)</f>
        <v>0</v>
      </c>
      <c r="AY369" s="52" t="s">
        <v>718</v>
      </c>
      <c r="AZ369" s="52" t="s">
        <v>714</v>
      </c>
      <c r="BA369" s="32" t="s">
        <v>121</v>
      </c>
      <c r="BC369" s="50">
        <f>AW369+AX369</f>
        <v>0</v>
      </c>
      <c r="BD369" s="50">
        <f>G369/(100-BE369)*100</f>
        <v>0</v>
      </c>
      <c r="BE369" s="50">
        <v>0</v>
      </c>
      <c r="BF369" s="50">
        <f>369</f>
        <v>369</v>
      </c>
      <c r="BH369" s="50">
        <f>F369*AO369</f>
        <v>0</v>
      </c>
      <c r="BI369" s="50">
        <f>F369*AP369</f>
        <v>0</v>
      </c>
      <c r="BJ369" s="50">
        <f>F369*G369</f>
        <v>0</v>
      </c>
      <c r="BK369" s="52" t="s">
        <v>122</v>
      </c>
      <c r="BL369" s="50"/>
      <c r="BO369" s="50">
        <f>F369*G369</f>
        <v>0</v>
      </c>
      <c r="BW369" s="50">
        <v>21</v>
      </c>
      <c r="BX369" s="3" t="s">
        <v>724</v>
      </c>
    </row>
    <row r="370" spans="1:76" ht="14.4" x14ac:dyDescent="0.3">
      <c r="A370" s="53"/>
      <c r="C370" s="54" t="s">
        <v>114</v>
      </c>
      <c r="D370" s="54" t="s">
        <v>4</v>
      </c>
      <c r="F370" s="55">
        <v>1</v>
      </c>
      <c r="K370" s="56"/>
    </row>
    <row r="371" spans="1:76" ht="14.4" x14ac:dyDescent="0.3">
      <c r="A371" s="46" t="s">
        <v>4</v>
      </c>
      <c r="B371" s="47" t="s">
        <v>725</v>
      </c>
      <c r="C371" s="148" t="s">
        <v>70</v>
      </c>
      <c r="D371" s="149"/>
      <c r="E371" s="48" t="s">
        <v>79</v>
      </c>
      <c r="F371" s="48" t="s">
        <v>79</v>
      </c>
      <c r="G371" s="48" t="s">
        <v>79</v>
      </c>
      <c r="H371" s="26">
        <f>ROUND(SUM(H372:H372),2)</f>
        <v>0</v>
      </c>
      <c r="I371" s="26">
        <f>ROUND(SUM(I372:I372),2)</f>
        <v>0</v>
      </c>
      <c r="J371" s="26">
        <f>ROUND(SUM(J372:J372),2)</f>
        <v>0</v>
      </c>
      <c r="K371" s="49" t="s">
        <v>4</v>
      </c>
      <c r="AI371" s="32" t="s">
        <v>4</v>
      </c>
      <c r="AS371" s="26">
        <f>SUM(AJ372:AJ372)</f>
        <v>0</v>
      </c>
      <c r="AT371" s="26">
        <f>SUM(AK372:AK372)</f>
        <v>0</v>
      </c>
      <c r="AU371" s="26">
        <f>SUM(AL372:AL372)</f>
        <v>0</v>
      </c>
    </row>
    <row r="372" spans="1:76" ht="14.4" x14ac:dyDescent="0.3">
      <c r="A372" s="1" t="s">
        <v>726</v>
      </c>
      <c r="B372" s="2" t="s">
        <v>727</v>
      </c>
      <c r="C372" s="75" t="s">
        <v>728</v>
      </c>
      <c r="D372" s="70"/>
      <c r="E372" s="2" t="s">
        <v>712</v>
      </c>
      <c r="F372" s="50">
        <v>1</v>
      </c>
      <c r="G372" s="50">
        <v>0</v>
      </c>
      <c r="H372" s="50">
        <f>ROUND(F372*AO372,2)</f>
        <v>0</v>
      </c>
      <c r="I372" s="50">
        <f>ROUND(F372*AP372,2)</f>
        <v>0</v>
      </c>
      <c r="J372" s="50">
        <f>ROUND(F372*G372,2)</f>
        <v>0</v>
      </c>
      <c r="K372" s="51" t="s">
        <v>4</v>
      </c>
      <c r="Z372" s="50">
        <f>ROUND(IF(AQ372="5",BJ372,0),2)</f>
        <v>0</v>
      </c>
      <c r="AB372" s="50">
        <f>ROUND(IF(AQ372="1",BH372,0),2)</f>
        <v>0</v>
      </c>
      <c r="AC372" s="50">
        <f>ROUND(IF(AQ372="1",BI372,0),2)</f>
        <v>0</v>
      </c>
      <c r="AD372" s="50">
        <f>ROUND(IF(AQ372="7",BH372,0),2)</f>
        <v>0</v>
      </c>
      <c r="AE372" s="50">
        <f>ROUND(IF(AQ372="7",BI372,0),2)</f>
        <v>0</v>
      </c>
      <c r="AF372" s="50">
        <f>ROUND(IF(AQ372="2",BH372,0),2)</f>
        <v>0</v>
      </c>
      <c r="AG372" s="50">
        <f>ROUND(IF(AQ372="2",BI372,0),2)</f>
        <v>0</v>
      </c>
      <c r="AH372" s="50">
        <f>ROUND(IF(AQ372="0",BJ372,0),2)</f>
        <v>0</v>
      </c>
      <c r="AI372" s="32" t="s">
        <v>4</v>
      </c>
      <c r="AJ372" s="50">
        <f>IF(AN372=0,J372,0)</f>
        <v>0</v>
      </c>
      <c r="AK372" s="50">
        <f>IF(AN372=12,J372,0)</f>
        <v>0</v>
      </c>
      <c r="AL372" s="50">
        <f>IF(AN372=21,J372,0)</f>
        <v>0</v>
      </c>
      <c r="AN372" s="50">
        <v>21</v>
      </c>
      <c r="AO372" s="50">
        <f>G372*0</f>
        <v>0</v>
      </c>
      <c r="AP372" s="50">
        <f>G372*(1-0)</f>
        <v>0</v>
      </c>
      <c r="AQ372" s="52" t="s">
        <v>587</v>
      </c>
      <c r="AV372" s="50">
        <f>ROUND(AW372+AX372,2)</f>
        <v>0</v>
      </c>
      <c r="AW372" s="50">
        <f>ROUND(F372*AO372,2)</f>
        <v>0</v>
      </c>
      <c r="AX372" s="50">
        <f>ROUND(F372*AP372,2)</f>
        <v>0</v>
      </c>
      <c r="AY372" s="52" t="s">
        <v>729</v>
      </c>
      <c r="AZ372" s="52" t="s">
        <v>714</v>
      </c>
      <c r="BA372" s="32" t="s">
        <v>121</v>
      </c>
      <c r="BC372" s="50">
        <f>AW372+AX372</f>
        <v>0</v>
      </c>
      <c r="BD372" s="50">
        <f>G372/(100-BE372)*100</f>
        <v>0</v>
      </c>
      <c r="BE372" s="50">
        <v>0</v>
      </c>
      <c r="BF372" s="50">
        <f>372</f>
        <v>372</v>
      </c>
      <c r="BH372" s="50">
        <f>F372*AO372</f>
        <v>0</v>
      </c>
      <c r="BI372" s="50">
        <f>F372*AP372</f>
        <v>0</v>
      </c>
      <c r="BJ372" s="50">
        <f>F372*G372</f>
        <v>0</v>
      </c>
      <c r="BK372" s="52" t="s">
        <v>122</v>
      </c>
      <c r="BL372" s="50"/>
      <c r="BP372" s="50">
        <f>F372*G372</f>
        <v>0</v>
      </c>
      <c r="BW372" s="50">
        <v>21</v>
      </c>
      <c r="BX372" s="3" t="s">
        <v>728</v>
      </c>
    </row>
    <row r="373" spans="1:76" ht="14.4" x14ac:dyDescent="0.3">
      <c r="A373" s="53"/>
      <c r="C373" s="54" t="s">
        <v>114</v>
      </c>
      <c r="D373" s="54" t="s">
        <v>4</v>
      </c>
      <c r="F373" s="55">
        <v>1</v>
      </c>
      <c r="K373" s="56"/>
    </row>
    <row r="374" spans="1:76" ht="14.4" x14ac:dyDescent="0.3">
      <c r="A374" s="46" t="s">
        <v>4</v>
      </c>
      <c r="B374" s="47" t="s">
        <v>730</v>
      </c>
      <c r="C374" s="148" t="s">
        <v>32</v>
      </c>
      <c r="D374" s="149"/>
      <c r="E374" s="48" t="s">
        <v>79</v>
      </c>
      <c r="F374" s="48" t="s">
        <v>79</v>
      </c>
      <c r="G374" s="48" t="s">
        <v>79</v>
      </c>
      <c r="H374" s="26">
        <f>ROUND(SUM(H375:H375),2)</f>
        <v>0</v>
      </c>
      <c r="I374" s="26">
        <f>ROUND(SUM(I375:I375),2)</f>
        <v>0</v>
      </c>
      <c r="J374" s="26">
        <f>ROUND(SUM(J375:J375),2)</f>
        <v>0</v>
      </c>
      <c r="K374" s="49" t="s">
        <v>4</v>
      </c>
      <c r="AI374" s="32" t="s">
        <v>4</v>
      </c>
      <c r="AS374" s="26">
        <f>SUM(AJ375:AJ375)</f>
        <v>0</v>
      </c>
      <c r="AT374" s="26">
        <f>SUM(AK375:AK375)</f>
        <v>0</v>
      </c>
      <c r="AU374" s="26">
        <f>SUM(AL375:AL375)</f>
        <v>0</v>
      </c>
    </row>
    <row r="375" spans="1:76" ht="14.4" x14ac:dyDescent="0.3">
      <c r="A375" s="1" t="s">
        <v>731</v>
      </c>
      <c r="B375" s="2" t="s">
        <v>732</v>
      </c>
      <c r="C375" s="75" t="s">
        <v>733</v>
      </c>
      <c r="D375" s="70"/>
      <c r="E375" s="2" t="s">
        <v>712</v>
      </c>
      <c r="F375" s="50">
        <v>1</v>
      </c>
      <c r="G375" s="50">
        <v>0</v>
      </c>
      <c r="H375" s="50">
        <f>ROUND(F375*AO375,2)</f>
        <v>0</v>
      </c>
      <c r="I375" s="50">
        <f>ROUND(F375*AP375,2)</f>
        <v>0</v>
      </c>
      <c r="J375" s="50">
        <f>ROUND(F375*G375,2)</f>
        <v>0</v>
      </c>
      <c r="K375" s="51" t="s">
        <v>4</v>
      </c>
      <c r="Z375" s="50">
        <f>ROUND(IF(AQ375="5",BJ375,0),2)</f>
        <v>0</v>
      </c>
      <c r="AB375" s="50">
        <f>ROUND(IF(AQ375="1",BH375,0),2)</f>
        <v>0</v>
      </c>
      <c r="AC375" s="50">
        <f>ROUND(IF(AQ375="1",BI375,0),2)</f>
        <v>0</v>
      </c>
      <c r="AD375" s="50">
        <f>ROUND(IF(AQ375="7",BH375,0),2)</f>
        <v>0</v>
      </c>
      <c r="AE375" s="50">
        <f>ROUND(IF(AQ375="7",BI375,0),2)</f>
        <v>0</v>
      </c>
      <c r="AF375" s="50">
        <f>ROUND(IF(AQ375="2",BH375,0),2)</f>
        <v>0</v>
      </c>
      <c r="AG375" s="50">
        <f>ROUND(IF(AQ375="2",BI375,0),2)</f>
        <v>0</v>
      </c>
      <c r="AH375" s="50">
        <f>ROUND(IF(AQ375="0",BJ375,0),2)</f>
        <v>0</v>
      </c>
      <c r="AI375" s="32" t="s">
        <v>4</v>
      </c>
      <c r="AJ375" s="50">
        <f>IF(AN375=0,J375,0)</f>
        <v>0</v>
      </c>
      <c r="AK375" s="50">
        <f>IF(AN375=12,J375,0)</f>
        <v>0</v>
      </c>
      <c r="AL375" s="50">
        <f>IF(AN375=21,J375,0)</f>
        <v>0</v>
      </c>
      <c r="AN375" s="50">
        <v>21</v>
      </c>
      <c r="AO375" s="50">
        <f>G375*0</f>
        <v>0</v>
      </c>
      <c r="AP375" s="50">
        <f>G375*(1-0)</f>
        <v>0</v>
      </c>
      <c r="AQ375" s="52" t="s">
        <v>587</v>
      </c>
      <c r="AV375" s="50">
        <f>ROUND(AW375+AX375,2)</f>
        <v>0</v>
      </c>
      <c r="AW375" s="50">
        <f>ROUND(F375*AO375,2)</f>
        <v>0</v>
      </c>
      <c r="AX375" s="50">
        <f>ROUND(F375*AP375,2)</f>
        <v>0</v>
      </c>
      <c r="AY375" s="52" t="s">
        <v>734</v>
      </c>
      <c r="AZ375" s="52" t="s">
        <v>714</v>
      </c>
      <c r="BA375" s="32" t="s">
        <v>121</v>
      </c>
      <c r="BC375" s="50">
        <f>AW375+AX375</f>
        <v>0</v>
      </c>
      <c r="BD375" s="50">
        <f>G375/(100-BE375)*100</f>
        <v>0</v>
      </c>
      <c r="BE375" s="50">
        <v>0</v>
      </c>
      <c r="BF375" s="50">
        <f>375</f>
        <v>375</v>
      </c>
      <c r="BH375" s="50">
        <f>F375*AO375</f>
        <v>0</v>
      </c>
      <c r="BI375" s="50">
        <f>F375*AP375</f>
        <v>0</v>
      </c>
      <c r="BJ375" s="50">
        <f>F375*G375</f>
        <v>0</v>
      </c>
      <c r="BK375" s="52" t="s">
        <v>122</v>
      </c>
      <c r="BL375" s="50"/>
      <c r="BS375" s="50">
        <f>F375*G375</f>
        <v>0</v>
      </c>
      <c r="BW375" s="50">
        <v>21</v>
      </c>
      <c r="BX375" s="3" t="s">
        <v>733</v>
      </c>
    </row>
    <row r="376" spans="1:76" ht="14.4" x14ac:dyDescent="0.3">
      <c r="A376" s="58"/>
      <c r="B376" s="59"/>
      <c r="C376" s="60" t="s">
        <v>114</v>
      </c>
      <c r="D376" s="60" t="s">
        <v>4</v>
      </c>
      <c r="E376" s="59"/>
      <c r="F376" s="61">
        <v>1</v>
      </c>
      <c r="G376" s="59"/>
      <c r="H376" s="59"/>
      <c r="I376" s="59"/>
      <c r="J376" s="59"/>
      <c r="K376" s="62"/>
    </row>
    <row r="377" spans="1:76" ht="14.4" x14ac:dyDescent="0.3">
      <c r="H377" s="153" t="s">
        <v>735</v>
      </c>
      <c r="I377" s="153"/>
      <c r="J377" s="63">
        <f>ROUND(SUM(J13,J16,J25,J30,J38,J46,J70,J92,J98,J116,J129,J136,J145,J151,J157,J180,J184,J189,J208,J241,J246,J267,J273,J278,J297,J301,J308,J311,J337,J340,J343,J346,J351,J361,J364,J371,J374),2)</f>
        <v>0</v>
      </c>
    </row>
    <row r="378" spans="1:76" ht="14.4" x14ac:dyDescent="0.3">
      <c r="A378" s="64" t="s">
        <v>56</v>
      </c>
    </row>
    <row r="379" spans="1:76" ht="12.75" customHeight="1" x14ac:dyDescent="0.3">
      <c r="A379" s="75" t="s">
        <v>4</v>
      </c>
      <c r="B379" s="70"/>
      <c r="C379" s="70"/>
      <c r="D379" s="70"/>
      <c r="E379" s="70"/>
      <c r="F379" s="70"/>
      <c r="G379" s="70"/>
      <c r="H379" s="70"/>
      <c r="I379" s="70"/>
      <c r="J379" s="70"/>
      <c r="K379" s="70"/>
    </row>
  </sheetData>
  <mergeCells count="223">
    <mergeCell ref="H377:I377"/>
    <mergeCell ref="A379:K379"/>
    <mergeCell ref="C369:D369"/>
    <mergeCell ref="C371:D371"/>
    <mergeCell ref="C372:D372"/>
    <mergeCell ref="C374:D374"/>
    <mergeCell ref="C375:D375"/>
    <mergeCell ref="C361:D361"/>
    <mergeCell ref="C362:D362"/>
    <mergeCell ref="C364:D364"/>
    <mergeCell ref="C365:D365"/>
    <mergeCell ref="C367:D367"/>
    <mergeCell ref="C352:D352"/>
    <mergeCell ref="C354:D354"/>
    <mergeCell ref="C356:D356"/>
    <mergeCell ref="C358:D358"/>
    <mergeCell ref="C360:D360"/>
    <mergeCell ref="C344:D344"/>
    <mergeCell ref="C346:D346"/>
    <mergeCell ref="C347:D347"/>
    <mergeCell ref="C349:D349"/>
    <mergeCell ref="C351:D351"/>
    <mergeCell ref="C337:D337"/>
    <mergeCell ref="C338:D338"/>
    <mergeCell ref="C340:D340"/>
    <mergeCell ref="C341:D341"/>
    <mergeCell ref="C343:D343"/>
    <mergeCell ref="C322:D322"/>
    <mergeCell ref="C324:D324"/>
    <mergeCell ref="C332:D332"/>
    <mergeCell ref="C333:K333"/>
    <mergeCell ref="C335:D335"/>
    <mergeCell ref="C312:D312"/>
    <mergeCell ref="C314:D314"/>
    <mergeCell ref="C316:D316"/>
    <mergeCell ref="C318:D318"/>
    <mergeCell ref="C320:D320"/>
    <mergeCell ref="C304:D304"/>
    <mergeCell ref="C306:D306"/>
    <mergeCell ref="C308:D308"/>
    <mergeCell ref="C309:D309"/>
    <mergeCell ref="C311:D311"/>
    <mergeCell ref="C297:D297"/>
    <mergeCell ref="C298:D298"/>
    <mergeCell ref="C299:K299"/>
    <mergeCell ref="C301:D301"/>
    <mergeCell ref="C302:D302"/>
    <mergeCell ref="C274:D274"/>
    <mergeCell ref="C276:D276"/>
    <mergeCell ref="C278:D278"/>
    <mergeCell ref="C279:D279"/>
    <mergeCell ref="C288:D288"/>
    <mergeCell ref="C267:D267"/>
    <mergeCell ref="C268:D268"/>
    <mergeCell ref="C270:D270"/>
    <mergeCell ref="C272:D272"/>
    <mergeCell ref="C273:D273"/>
    <mergeCell ref="C258:K258"/>
    <mergeCell ref="C260:D260"/>
    <mergeCell ref="C262:D262"/>
    <mergeCell ref="C264:D264"/>
    <mergeCell ref="C266:D266"/>
    <mergeCell ref="C247:D247"/>
    <mergeCell ref="C249:D249"/>
    <mergeCell ref="C252:D252"/>
    <mergeCell ref="C254:D254"/>
    <mergeCell ref="C257:D257"/>
    <mergeCell ref="C241:D241"/>
    <mergeCell ref="C242:D242"/>
    <mergeCell ref="C243:K243"/>
    <mergeCell ref="C245:D245"/>
    <mergeCell ref="C246:D246"/>
    <mergeCell ref="C233:D233"/>
    <mergeCell ref="C235:D235"/>
    <mergeCell ref="C237:D237"/>
    <mergeCell ref="C238:K238"/>
    <mergeCell ref="C240:D240"/>
    <mergeCell ref="C223:D223"/>
    <mergeCell ref="C225:D225"/>
    <mergeCell ref="C227:D227"/>
    <mergeCell ref="C229:D229"/>
    <mergeCell ref="C231:D231"/>
    <mergeCell ref="C214:K214"/>
    <mergeCell ref="C216:D216"/>
    <mergeCell ref="C218:D218"/>
    <mergeCell ref="C219:K219"/>
    <mergeCell ref="C221:D221"/>
    <mergeCell ref="C207:D207"/>
    <mergeCell ref="C208:D208"/>
    <mergeCell ref="C209:D209"/>
    <mergeCell ref="C210:K210"/>
    <mergeCell ref="C213:D213"/>
    <mergeCell ref="C199:D199"/>
    <mergeCell ref="C201:D201"/>
    <mergeCell ref="C202:K202"/>
    <mergeCell ref="C204:D204"/>
    <mergeCell ref="C205:K205"/>
    <mergeCell ref="C189:D189"/>
    <mergeCell ref="C190:D190"/>
    <mergeCell ref="C191:K191"/>
    <mergeCell ref="C194:D194"/>
    <mergeCell ref="C196:D196"/>
    <mergeCell ref="C182:K182"/>
    <mergeCell ref="C184:D184"/>
    <mergeCell ref="C185:D185"/>
    <mergeCell ref="C186:K186"/>
    <mergeCell ref="C188:D188"/>
    <mergeCell ref="C176:D176"/>
    <mergeCell ref="C177:K177"/>
    <mergeCell ref="C179:D179"/>
    <mergeCell ref="C180:D180"/>
    <mergeCell ref="C181:D181"/>
    <mergeCell ref="C167:D167"/>
    <mergeCell ref="C170:D170"/>
    <mergeCell ref="C171:K171"/>
    <mergeCell ref="C173:D173"/>
    <mergeCell ref="C174:K174"/>
    <mergeCell ref="C158:D158"/>
    <mergeCell ref="C159:K159"/>
    <mergeCell ref="C161:D161"/>
    <mergeCell ref="C162:K162"/>
    <mergeCell ref="C164:D164"/>
    <mergeCell ref="C151:D151"/>
    <mergeCell ref="C152:D152"/>
    <mergeCell ref="C154:D154"/>
    <mergeCell ref="C155:K155"/>
    <mergeCell ref="C157:D157"/>
    <mergeCell ref="C136:D136"/>
    <mergeCell ref="C137:D137"/>
    <mergeCell ref="C142:D142"/>
    <mergeCell ref="C145:D145"/>
    <mergeCell ref="C146:D146"/>
    <mergeCell ref="C125:D125"/>
    <mergeCell ref="C127:D127"/>
    <mergeCell ref="C129:D129"/>
    <mergeCell ref="C130:D130"/>
    <mergeCell ref="C131:K131"/>
    <mergeCell ref="C116:D116"/>
    <mergeCell ref="C117:D117"/>
    <mergeCell ref="C119:D119"/>
    <mergeCell ref="C121:D121"/>
    <mergeCell ref="C123:D123"/>
    <mergeCell ref="C105:D105"/>
    <mergeCell ref="C107:D107"/>
    <mergeCell ref="C109:D109"/>
    <mergeCell ref="C112:D112"/>
    <mergeCell ref="C114:D114"/>
    <mergeCell ref="C96:D96"/>
    <mergeCell ref="C98:D98"/>
    <mergeCell ref="C99:D99"/>
    <mergeCell ref="C101:D101"/>
    <mergeCell ref="C103:D103"/>
    <mergeCell ref="C87:D87"/>
    <mergeCell ref="C90:D90"/>
    <mergeCell ref="C92:D92"/>
    <mergeCell ref="C93:D93"/>
    <mergeCell ref="C94:K94"/>
    <mergeCell ref="C78:D78"/>
    <mergeCell ref="C79:K79"/>
    <mergeCell ref="C81:D81"/>
    <mergeCell ref="C83:D83"/>
    <mergeCell ref="C85:D85"/>
    <mergeCell ref="C65:D65"/>
    <mergeCell ref="C67:D67"/>
    <mergeCell ref="C68:K68"/>
    <mergeCell ref="C70:D70"/>
    <mergeCell ref="C71:D71"/>
    <mergeCell ref="C53:D53"/>
    <mergeCell ref="C56:D56"/>
    <mergeCell ref="C59:D59"/>
    <mergeCell ref="C61:D61"/>
    <mergeCell ref="C63:D63"/>
    <mergeCell ref="C46:D46"/>
    <mergeCell ref="C47:D47"/>
    <mergeCell ref="C48:K48"/>
    <mergeCell ref="C50:D50"/>
    <mergeCell ref="C51:K51"/>
    <mergeCell ref="C34:D34"/>
    <mergeCell ref="C38:D38"/>
    <mergeCell ref="C39:D39"/>
    <mergeCell ref="C41:D41"/>
    <mergeCell ref="C44:D44"/>
    <mergeCell ref="C25:D25"/>
    <mergeCell ref="C26:D26"/>
    <mergeCell ref="C30:D30"/>
    <mergeCell ref="C31:D31"/>
    <mergeCell ref="C32:K32"/>
    <mergeCell ref="C16:D16"/>
    <mergeCell ref="C17:D17"/>
    <mergeCell ref="C19:D19"/>
    <mergeCell ref="C21:D21"/>
    <mergeCell ref="C23:D23"/>
    <mergeCell ref="C11:D11"/>
    <mergeCell ref="H10:J10"/>
    <mergeCell ref="C12:D12"/>
    <mergeCell ref="C13:D13"/>
    <mergeCell ref="C14:D14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VORN</vt:lpstr>
      <vt:lpstr>Stavební rozpočet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Ladislav Jansík</cp:lastModifiedBy>
  <dcterms:created xsi:type="dcterms:W3CDTF">2021-06-10T20:06:38Z</dcterms:created>
  <dcterms:modified xsi:type="dcterms:W3CDTF">2025-12-04T20:50:40Z</dcterms:modified>
</cp:coreProperties>
</file>